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epts\Rates and Pricing\Transmission Rate\Transmission Cost of Service Models\"/>
    </mc:Choice>
  </mc:AlternateContent>
  <bookViews>
    <workbookView xWindow="0" yWindow="0" windowWidth="28800" windowHeight="12360" activeTab="5"/>
  </bookViews>
  <sheets>
    <sheet name="Appendix A - Rates" sheetId="11" r:id="rId1"/>
    <sheet name="Appendix B - COS" sheetId="1" r:id="rId2"/>
    <sheet name="Exh I - Allocators" sheetId="3" r:id="rId3"/>
    <sheet name="Exh II - Plant Data" sheetId="2" r:id="rId4"/>
    <sheet name="Exh III - O&amp;M Expenses" sheetId="4" r:id="rId5"/>
    <sheet name="Exh IV - M&amp;S and Prepayments" sheetId="5" r:id="rId6"/>
    <sheet name="Exh V - ROR" sheetId="6" r:id="rId7"/>
    <sheet name="Exh VI - Other Taxes" sheetId="7" r:id="rId8"/>
    <sheet name="Exh VII - Rev Crd" sheetId="9" r:id="rId9"/>
    <sheet name="Exh VIII - Loads" sheetId="8" r:id="rId10"/>
  </sheets>
  <externalReferences>
    <externalReference r:id="rId11"/>
    <externalReference r:id="rId12"/>
  </externalReferences>
  <definedNames>
    <definedName name="_Fill" hidden="1">#REF!</definedName>
    <definedName name="_xlnm._FilterDatabase" localSheetId="3" hidden="1">'Exh II - Plant Data'!$A$14:$P$70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[1]DATABASE!#REF!</definedName>
    <definedName name="ACwvu.OP." hidden="1">#REF!</definedName>
    <definedName name="AS2DocOpenMode" hidden="1">"AS2DocumentEdit"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3">'Exh II - Plant Data'!$A$1:$P$77</definedName>
    <definedName name="_xlnm.Print_Area" localSheetId="4">'Exh III - O&amp;M Expenses'!$A$1:$H$116</definedName>
    <definedName name="_xlnm.Print_Area" localSheetId="6">'Exh V - ROR'!$A$1:$J$27</definedName>
    <definedName name="_xlnm.Print_Titles" localSheetId="1">'Appendix B - COS'!$1:$11</definedName>
    <definedName name="_xlnm.Print_Titles" localSheetId="3">'Exh II - Plant Data'!$1:$11</definedName>
    <definedName name="_xlnm.Print_Titles" localSheetId="4">'Exh III - O&amp;M Expenses'!$1:$11</definedName>
    <definedName name="q" hidden="1">{"MATALL",#N/A,FALSE,"Sheet4";"matclass",#N/A,FALSE,"Sheet4"}</definedName>
    <definedName name="Swvu.DATABASE." hidden="1">[1]DATABASE!#REF!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/>
  <c r="A14" i="2"/>
  <c r="A15" i="2" s="1"/>
  <c r="A16" i="2" s="1"/>
  <c r="A18" i="2"/>
  <c r="A19" i="2"/>
  <c r="A28" i="2"/>
  <c r="A29" i="2"/>
  <c r="A32" i="2"/>
  <c r="A33" i="2"/>
  <c r="A42" i="2"/>
  <c r="A43" i="2"/>
  <c r="A44" i="2"/>
  <c r="A56" i="2"/>
  <c r="A58" i="2"/>
  <c r="A59" i="2"/>
  <c r="A70" i="2"/>
  <c r="A72" i="2"/>
  <c r="A20" i="1"/>
  <c r="A21" i="1"/>
  <c r="A28" i="1"/>
  <c r="A29" i="1"/>
  <c r="A36" i="1"/>
  <c r="A40" i="1"/>
  <c r="A42" i="1"/>
  <c r="A45" i="1"/>
  <c r="A46" i="1"/>
  <c r="A47" i="1"/>
  <c r="A52" i="1"/>
  <c r="A53" i="1"/>
  <c r="A58" i="1"/>
  <c r="A60" i="1"/>
  <c r="A61" i="1"/>
  <c r="A67" i="1"/>
  <c r="A68" i="1"/>
  <c r="A73" i="1"/>
  <c r="A75" i="1"/>
  <c r="A77" i="1"/>
  <c r="A78" i="1"/>
  <c r="A79" i="1"/>
  <c r="A86" i="1"/>
  <c r="A87" i="1"/>
  <c r="A90" i="1"/>
  <c r="A92" i="1"/>
  <c r="A93" i="1"/>
  <c r="A13" i="1"/>
  <c r="A95" i="1"/>
  <c r="L26" i="3" l="1"/>
  <c r="A27" i="11" l="1"/>
  <c r="A28" i="11"/>
  <c r="A29" i="11"/>
  <c r="A33" i="11"/>
  <c r="A34" i="11"/>
  <c r="A36" i="11"/>
  <c r="A37" i="11"/>
  <c r="A21" i="11"/>
  <c r="A20" i="11"/>
  <c r="A18" i="11"/>
  <c r="A17" i="11"/>
  <c r="A18" i="3" l="1"/>
  <c r="A19" i="3"/>
  <c r="A23" i="3"/>
  <c r="A24" i="3"/>
  <c r="A30" i="3"/>
  <c r="A33" i="3"/>
  <c r="A39" i="3"/>
  <c r="A41" i="3" l="1"/>
  <c r="A13" i="8"/>
  <c r="A14" i="8" s="1"/>
  <c r="A15" i="8" s="1"/>
  <c r="A16" i="8" s="1"/>
  <c r="A24" i="9"/>
  <c r="A18" i="9"/>
  <c r="A17" i="9"/>
  <c r="A17" i="6"/>
  <c r="A27" i="4"/>
  <c r="A28" i="4"/>
  <c r="A29" i="4"/>
  <c r="A46" i="4"/>
  <c r="A47" i="4"/>
  <c r="A48" i="4"/>
  <c r="A64" i="4"/>
  <c r="A65" i="4"/>
  <c r="A66" i="4"/>
  <c r="A73" i="4"/>
  <c r="A74" i="4"/>
  <c r="A75" i="4"/>
  <c r="A82" i="4"/>
  <c r="A83" i="4"/>
  <c r="A84" i="4"/>
  <c r="A89" i="4"/>
  <c r="A90" i="4"/>
  <c r="A91" i="4"/>
  <c r="A95" i="4"/>
  <c r="A96" i="4"/>
  <c r="A97" i="4"/>
  <c r="A114" i="4"/>
  <c r="A12" i="4"/>
  <c r="E62" i="4"/>
  <c r="E61" i="4"/>
  <c r="A22" i="5"/>
  <c r="A21" i="5"/>
  <c r="A18" i="5"/>
  <c r="A17" i="5"/>
  <c r="A14" i="5"/>
  <c r="A15" i="5" s="1"/>
  <c r="A22" i="7"/>
  <c r="A21" i="7"/>
  <c r="A16" i="7"/>
  <c r="A15" i="7"/>
  <c r="A13" i="7"/>
  <c r="L20" i="7"/>
  <c r="A17" i="8" l="1"/>
  <c r="A19" i="8" l="1"/>
  <c r="A18" i="8"/>
  <c r="A21" i="8" l="1"/>
  <c r="A22" i="8" s="1"/>
  <c r="A23" i="8" s="1"/>
  <c r="A20" i="8"/>
  <c r="E25" i="8"/>
  <c r="H25" i="8"/>
  <c r="I25" i="8"/>
  <c r="J25" i="8"/>
  <c r="K25" i="8"/>
  <c r="L25" i="8"/>
  <c r="N25" i="8"/>
  <c r="S25" i="8"/>
  <c r="R25" i="8"/>
  <c r="A24" i="8" l="1"/>
  <c r="A25" i="8" s="1"/>
  <c r="P13" i="8"/>
  <c r="U13" i="8" s="1"/>
  <c r="V13" i="8" l="1"/>
  <c r="F93" i="4" l="1"/>
  <c r="E94" i="4" l="1"/>
  <c r="E88" i="4" l="1"/>
  <c r="D88" i="4"/>
  <c r="F87" i="4"/>
  <c r="F86" i="4"/>
  <c r="F85" i="4"/>
  <c r="F88" i="4" l="1"/>
  <c r="I31" i="2" l="1"/>
  <c r="F25" i="4"/>
  <c r="L31" i="2"/>
  <c r="H31" i="2"/>
  <c r="P45" i="2"/>
  <c r="P46" i="2"/>
  <c r="P47" i="2"/>
  <c r="P52" i="2"/>
  <c r="P53" i="2"/>
  <c r="H17" i="2" l="1"/>
  <c r="A17" i="2" s="1"/>
  <c r="P54" i="2"/>
  <c r="P55" i="2"/>
  <c r="P48" i="2"/>
  <c r="J68" i="2"/>
  <c r="N22" i="1"/>
  <c r="H41" i="2"/>
  <c r="L57" i="2"/>
  <c r="I71" i="2"/>
  <c r="L71" i="2"/>
  <c r="I57" i="2"/>
  <c r="I27" i="2"/>
  <c r="G22" i="1" s="1"/>
  <c r="I41" i="2"/>
  <c r="H57" i="2"/>
  <c r="L41" i="2"/>
  <c r="H71" i="2"/>
  <c r="L27" i="2"/>
  <c r="H27" i="2"/>
  <c r="D94" i="4"/>
  <c r="F108" i="4"/>
  <c r="F112" i="4"/>
  <c r="D81" i="4"/>
  <c r="E81" i="4"/>
  <c r="D26" i="4"/>
  <c r="E26" i="4"/>
  <c r="F110" i="4"/>
  <c r="F102" i="4"/>
  <c r="F111" i="4"/>
  <c r="F103" i="4"/>
  <c r="F101" i="4"/>
  <c r="F109" i="4"/>
  <c r="F100" i="4"/>
  <c r="F105" i="4"/>
  <c r="F106" i="4"/>
  <c r="F107" i="4"/>
  <c r="F99" i="4"/>
  <c r="F104" i="4"/>
  <c r="E72" i="4"/>
  <c r="D72" i="4"/>
  <c r="D113" i="4"/>
  <c r="E113" i="4"/>
  <c r="J22" i="1"/>
  <c r="F14" i="4"/>
  <c r="F22" i="4"/>
  <c r="F17" i="4"/>
  <c r="F20" i="4"/>
  <c r="F21" i="4"/>
  <c r="F16" i="4"/>
  <c r="F24" i="4"/>
  <c r="F19" i="4"/>
  <c r="F13" i="4"/>
  <c r="A13" i="4" s="1"/>
  <c r="F15" i="4"/>
  <c r="F23" i="4"/>
  <c r="F18" i="4"/>
  <c r="A20" i="2" l="1"/>
  <c r="A21" i="2" s="1"/>
  <c r="G14" i="1"/>
  <c r="A14" i="4"/>
  <c r="H73" i="2"/>
  <c r="F92" i="4"/>
  <c r="F94" i="4" s="1"/>
  <c r="F26" i="4"/>
  <c r="A22" i="2" l="1"/>
  <c r="A15" i="4"/>
  <c r="M21" i="9"/>
  <c r="M22" i="9"/>
  <c r="L23" i="9"/>
  <c r="K23" i="9"/>
  <c r="J23" i="9"/>
  <c r="I23" i="9"/>
  <c r="G89" i="1" s="1"/>
  <c r="A23" i="2" l="1"/>
  <c r="A16" i="4"/>
  <c r="K89" i="1"/>
  <c r="O89" i="1" s="1"/>
  <c r="A24" i="2" l="1"/>
  <c r="A25" i="2" s="1"/>
  <c r="A17" i="4"/>
  <c r="P14" i="8"/>
  <c r="U14" i="8" s="1"/>
  <c r="P15" i="8"/>
  <c r="U15" i="8" s="1"/>
  <c r="P16" i="8"/>
  <c r="U16" i="8" s="1"/>
  <c r="P17" i="8"/>
  <c r="P18" i="8"/>
  <c r="U18" i="8" s="1"/>
  <c r="P19" i="8"/>
  <c r="U19" i="8" s="1"/>
  <c r="P20" i="8"/>
  <c r="U20" i="8" s="1"/>
  <c r="P21" i="8"/>
  <c r="U21" i="8" s="1"/>
  <c r="P22" i="8"/>
  <c r="P23" i="8"/>
  <c r="U23" i="8" s="1"/>
  <c r="P24" i="8"/>
  <c r="U24" i="8" s="1"/>
  <c r="A26" i="2" l="1"/>
  <c r="A27" i="2" s="1"/>
  <c r="A30" i="2" s="1"/>
  <c r="A31" i="2" s="1"/>
  <c r="A34" i="2" s="1"/>
  <c r="A35" i="2" s="1"/>
  <c r="A36" i="2" s="1"/>
  <c r="A37" i="2" s="1"/>
  <c r="A38" i="2" s="1"/>
  <c r="A39" i="2" s="1"/>
  <c r="A40" i="2" s="1"/>
  <c r="A41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1" i="2" s="1"/>
  <c r="A73" i="2" s="1"/>
  <c r="A18" i="4"/>
  <c r="U17" i="8"/>
  <c r="U25" i="8" s="1"/>
  <c r="V17" i="8"/>
  <c r="U22" i="8"/>
  <c r="V22" i="8"/>
  <c r="V24" i="8"/>
  <c r="V23" i="8"/>
  <c r="V15" i="8"/>
  <c r="V14" i="8"/>
  <c r="V21" i="8"/>
  <c r="V20" i="8"/>
  <c r="V16" i="8"/>
  <c r="V18" i="8"/>
  <c r="V19" i="8"/>
  <c r="A19" i="4" l="1"/>
  <c r="V25" i="8"/>
  <c r="G19" i="11" s="1"/>
  <c r="G35" i="11"/>
  <c r="G23" i="1"/>
  <c r="A20" i="4" l="1"/>
  <c r="A21" i="4" s="1"/>
  <c r="A22" i="4" s="1"/>
  <c r="A23" i="4" s="1"/>
  <c r="A24" i="4" s="1"/>
  <c r="A25" i="4" s="1"/>
  <c r="A26" i="4" s="1"/>
  <c r="O23" i="1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49" i="4"/>
  <c r="D63" i="4"/>
  <c r="E63" i="4"/>
  <c r="I16" i="9" l="1"/>
  <c r="G81" i="1" s="1"/>
  <c r="F63" i="4"/>
  <c r="O81" i="1" l="1"/>
  <c r="K81" i="1"/>
  <c r="G50" i="1"/>
  <c r="K50" i="1" l="1"/>
  <c r="L16" i="9"/>
  <c r="K16" i="9"/>
  <c r="J16" i="9"/>
  <c r="H16" i="9"/>
  <c r="G80" i="1" s="1"/>
  <c r="K14" i="7"/>
  <c r="H14" i="7"/>
  <c r="H16" i="5"/>
  <c r="A16" i="5" s="1"/>
  <c r="A19" i="5" s="1"/>
  <c r="I20" i="5"/>
  <c r="H20" i="5"/>
  <c r="E45" i="4"/>
  <c r="D45" i="4"/>
  <c r="G65" i="1"/>
  <c r="K65" i="1" s="1"/>
  <c r="G24" i="1"/>
  <c r="K24" i="1" s="1"/>
  <c r="G25" i="1"/>
  <c r="I16" i="5"/>
  <c r="I15" i="6"/>
  <c r="I14" i="6"/>
  <c r="A14" i="6" s="1"/>
  <c r="E16" i="6"/>
  <c r="A15" i="6" l="1"/>
  <c r="A20" i="5"/>
  <c r="K80" i="1"/>
  <c r="O80" i="1"/>
  <c r="A5" i="11"/>
  <c r="A4" i="11"/>
  <c r="G84" i="1" l="1"/>
  <c r="G83" i="1"/>
  <c r="G82" i="1"/>
  <c r="M20" i="9"/>
  <c r="M15" i="9"/>
  <c r="A5" i="9"/>
  <c r="A4" i="9"/>
  <c r="A2" i="9"/>
  <c r="O84" i="1" l="1"/>
  <c r="H23" i="9"/>
  <c r="G88" i="1" s="1"/>
  <c r="M19" i="9"/>
  <c r="K84" i="1"/>
  <c r="G85" i="1"/>
  <c r="M13" i="9"/>
  <c r="A13" i="9" s="1"/>
  <c r="M14" i="9"/>
  <c r="M23" i="9" l="1"/>
  <c r="A14" i="9"/>
  <c r="O88" i="1"/>
  <c r="K88" i="1"/>
  <c r="G91" i="1"/>
  <c r="M16" i="9"/>
  <c r="A15" i="9" l="1"/>
  <c r="A16" i="9"/>
  <c r="P25" i="8"/>
  <c r="A19" i="9" l="1"/>
  <c r="A20" i="9"/>
  <c r="A21" i="9" s="1"/>
  <c r="A22" i="9" s="1"/>
  <c r="A5" i="8"/>
  <c r="A4" i="8"/>
  <c r="A2" i="8"/>
  <c r="A23" i="9" l="1"/>
  <c r="G70" i="1"/>
  <c r="F14" i="7"/>
  <c r="A5" i="7"/>
  <c r="A4" i="7"/>
  <c r="A2" i="7"/>
  <c r="L14" i="7" l="1"/>
  <c r="J14" i="7"/>
  <c r="M13" i="7"/>
  <c r="G69" i="1" l="1"/>
  <c r="A14" i="7"/>
  <c r="G71" i="1"/>
  <c r="K71" i="1" s="1"/>
  <c r="L25" i="7"/>
  <c r="L23" i="7"/>
  <c r="L26" i="7" s="1"/>
  <c r="L24" i="7"/>
  <c r="O71" i="1"/>
  <c r="M14" i="7"/>
  <c r="G72" i="1" l="1"/>
  <c r="I16" i="6"/>
  <c r="O43" i="1" l="1"/>
  <c r="A16" i="6"/>
  <c r="G43" i="1"/>
  <c r="K43" i="1"/>
  <c r="A5" i="6"/>
  <c r="A4" i="6"/>
  <c r="A2" i="6"/>
  <c r="J19" i="5" l="1"/>
  <c r="J15" i="5"/>
  <c r="J14" i="5"/>
  <c r="A5" i="5"/>
  <c r="A4" i="5"/>
  <c r="A2" i="5"/>
  <c r="R19" i="5" l="1"/>
  <c r="R20" i="5" s="1"/>
  <c r="Q19" i="5"/>
  <c r="Q20" i="5" s="1"/>
  <c r="P19" i="5"/>
  <c r="P20" i="5" s="1"/>
  <c r="J20" i="5"/>
  <c r="G38" i="1" s="1"/>
  <c r="J16" i="5"/>
  <c r="G37" i="1" s="1"/>
  <c r="S19" i="5" l="1"/>
  <c r="S20" i="5" s="1"/>
  <c r="O38" i="1"/>
  <c r="K38" i="1"/>
  <c r="F44" i="4" l="1"/>
  <c r="F43" i="4" l="1"/>
  <c r="F42" i="4"/>
  <c r="F41" i="4"/>
  <c r="F40" i="4"/>
  <c r="F39" i="4"/>
  <c r="F38" i="4"/>
  <c r="F37" i="4"/>
  <c r="F36" i="4"/>
  <c r="F35" i="4"/>
  <c r="G49" i="1" s="1"/>
  <c r="F34" i="4"/>
  <c r="F33" i="4"/>
  <c r="F32" i="4"/>
  <c r="F31" i="4"/>
  <c r="F30" i="4"/>
  <c r="A30" i="4" s="1"/>
  <c r="A31" i="4" s="1"/>
  <c r="A32" i="4" s="1"/>
  <c r="A33" i="4" s="1"/>
  <c r="A34" i="4" s="1"/>
  <c r="A35" i="4" s="1"/>
  <c r="A36" i="4" s="1"/>
  <c r="A37" i="4" s="1"/>
  <c r="F68" i="4"/>
  <c r="F69" i="4"/>
  <c r="F70" i="4"/>
  <c r="F71" i="4"/>
  <c r="F76" i="4"/>
  <c r="F77" i="4"/>
  <c r="F78" i="4"/>
  <c r="F79" i="4"/>
  <c r="F80" i="4"/>
  <c r="F98" i="4"/>
  <c r="F67" i="4"/>
  <c r="A5" i="2"/>
  <c r="A5" i="3"/>
  <c r="A38" i="4" l="1"/>
  <c r="A39" i="4" s="1"/>
  <c r="A40" i="4"/>
  <c r="A41" i="4"/>
  <c r="A42" i="4" s="1"/>
  <c r="A43" i="4" s="1"/>
  <c r="A44" i="4" s="1"/>
  <c r="A45" i="4" s="1"/>
  <c r="F81" i="4"/>
  <c r="F72" i="4"/>
  <c r="F113" i="4"/>
  <c r="G56" i="1"/>
  <c r="G55" i="1"/>
  <c r="F45" i="4"/>
  <c r="A49" i="4" l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7" i="4" s="1"/>
  <c r="A68" i="4" s="1"/>
  <c r="A69" i="4" s="1"/>
  <c r="A70" i="4" s="1"/>
  <c r="A71" i="4" s="1"/>
  <c r="A72" i="4" s="1"/>
  <c r="A76" i="4" s="1"/>
  <c r="A77" i="4" s="1"/>
  <c r="A78" i="4" s="1"/>
  <c r="A79" i="4" s="1"/>
  <c r="A80" i="4" s="1"/>
  <c r="A81" i="4" s="1"/>
  <c r="A85" i="4" s="1"/>
  <c r="A86" i="4" s="1"/>
  <c r="A87" i="4" s="1"/>
  <c r="A88" i="4" s="1"/>
  <c r="A92" i="4" s="1"/>
  <c r="A93" i="4" s="1"/>
  <c r="A94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G54" i="1"/>
  <c r="G57" i="1" s="1"/>
  <c r="G48" i="1"/>
  <c r="G51" i="1" s="1"/>
  <c r="O49" i="1"/>
  <c r="O48" i="1" l="1"/>
  <c r="G59" i="1"/>
  <c r="G39" i="1" l="1"/>
  <c r="G63" i="1"/>
  <c r="G62" i="1"/>
  <c r="L17" i="2"/>
  <c r="L73" i="2" s="1"/>
  <c r="A4" i="2"/>
  <c r="A2" i="2"/>
  <c r="G64" i="1" l="1"/>
  <c r="O62" i="1"/>
  <c r="G66" i="1" l="1"/>
  <c r="O22" i="1"/>
  <c r="K22" i="1"/>
  <c r="J37" i="3"/>
  <c r="G38" i="3"/>
  <c r="L34" i="3" s="1"/>
  <c r="A4" i="3"/>
  <c r="A2" i="3"/>
  <c r="L37" i="3" l="1"/>
  <c r="G74" i="1"/>
  <c r="J34" i="3"/>
  <c r="K19" i="7" l="1"/>
  <c r="K25" i="7" s="1"/>
  <c r="N15" i="5"/>
  <c r="R15" i="5" s="1"/>
  <c r="N14" i="5"/>
  <c r="R14" i="5" s="1"/>
  <c r="I17" i="2"/>
  <c r="I73" i="2" s="1"/>
  <c r="R16" i="5" l="1"/>
  <c r="G26" i="1"/>
  <c r="G27" i="1" l="1"/>
  <c r="J60" i="2"/>
  <c r="J49" i="2"/>
  <c r="J69" i="2"/>
  <c r="J52" i="2"/>
  <c r="J67" i="2"/>
  <c r="J24" i="2"/>
  <c r="J47" i="2"/>
  <c r="J20" i="2"/>
  <c r="J26" i="2"/>
  <c r="J16" i="2"/>
  <c r="J34" i="2"/>
  <c r="J38" i="2"/>
  <c r="J45" i="2"/>
  <c r="J14" i="2"/>
  <c r="J46" i="2" l="1"/>
  <c r="J25" i="2"/>
  <c r="J53" i="2"/>
  <c r="J66" i="2"/>
  <c r="J64" i="2"/>
  <c r="J36" i="2"/>
  <c r="J50" i="2"/>
  <c r="J48" i="2"/>
  <c r="J40" i="2"/>
  <c r="J23" i="2"/>
  <c r="J63" i="2"/>
  <c r="L20" i="3"/>
  <c r="J65" i="2"/>
  <c r="J22" i="2"/>
  <c r="J61" i="2"/>
  <c r="G17" i="1"/>
  <c r="G15" i="1"/>
  <c r="O15" i="1" s="1"/>
  <c r="J15" i="2"/>
  <c r="J39" i="2"/>
  <c r="J51" i="2"/>
  <c r="J21" i="2"/>
  <c r="J54" i="2"/>
  <c r="J35" i="2"/>
  <c r="G16" i="1"/>
  <c r="J62" i="2"/>
  <c r="J37" i="2"/>
  <c r="J30" i="2"/>
  <c r="J31" i="2" s="1"/>
  <c r="J55" i="2"/>
  <c r="O31" i="1" l="1"/>
  <c r="J71" i="2"/>
  <c r="G18" i="1"/>
  <c r="J57" i="2"/>
  <c r="J27" i="2"/>
  <c r="O14" i="1"/>
  <c r="L21" i="3"/>
  <c r="K16" i="1"/>
  <c r="J41" i="2"/>
  <c r="J17" i="2"/>
  <c r="G32" i="1"/>
  <c r="L25" i="3"/>
  <c r="G33" i="1"/>
  <c r="G31" i="1"/>
  <c r="L13" i="3"/>
  <c r="A13" i="3" s="1"/>
  <c r="A14" i="3" l="1"/>
  <c r="A15" i="3" s="1"/>
  <c r="L22" i="3"/>
  <c r="L28" i="3"/>
  <c r="G34" i="1"/>
  <c r="J73" i="2"/>
  <c r="G19" i="1"/>
  <c r="K14" i="1"/>
  <c r="A14" i="1" s="1"/>
  <c r="G30" i="1"/>
  <c r="O30" i="1"/>
  <c r="K32" i="1"/>
  <c r="F17" i="2"/>
  <c r="L16" i="3"/>
  <c r="A16" i="3" l="1"/>
  <c r="G31" i="11"/>
  <c r="L29" i="3"/>
  <c r="L31" i="3" s="1"/>
  <c r="L17" i="3"/>
  <c r="O50" i="2"/>
  <c r="P50" i="2" s="1"/>
  <c r="O49" i="2"/>
  <c r="P49" i="2" s="1"/>
  <c r="O51" i="2"/>
  <c r="P51" i="2" s="1"/>
  <c r="E26" i="3"/>
  <c r="G35" i="1"/>
  <c r="G41" i="1" s="1"/>
  <c r="K30" i="1"/>
  <c r="A17" i="3" l="1"/>
  <c r="A20" i="3" s="1"/>
  <c r="A21" i="3" s="1"/>
  <c r="A22" i="3" s="1"/>
  <c r="G15" i="11"/>
  <c r="P57" i="2"/>
  <c r="K15" i="1"/>
  <c r="A15" i="1" s="1"/>
  <c r="K23" i="1"/>
  <c r="J35" i="3"/>
  <c r="K62" i="1"/>
  <c r="G44" i="1"/>
  <c r="A16" i="1" l="1"/>
  <c r="A25" i="3"/>
  <c r="A26" i="3" s="1"/>
  <c r="A27" i="3" s="1"/>
  <c r="A28" i="3" s="1"/>
  <c r="F27" i="2"/>
  <c r="L35" i="3"/>
  <c r="K31" i="1"/>
  <c r="A29" i="3" l="1"/>
  <c r="E31" i="3" s="1"/>
  <c r="E29" i="3"/>
  <c r="A31" i="3"/>
  <c r="A34" i="3" s="1"/>
  <c r="A35" i="3" s="1"/>
  <c r="E25" i="3"/>
  <c r="L14" i="5"/>
  <c r="P14" i="5" s="1"/>
  <c r="L15" i="5"/>
  <c r="P15" i="5" s="1"/>
  <c r="K17" i="7"/>
  <c r="E17" i="3"/>
  <c r="F31" i="2"/>
  <c r="E13" i="3"/>
  <c r="J36" i="3"/>
  <c r="J63" i="1"/>
  <c r="K63" i="1" s="1"/>
  <c r="J17" i="1"/>
  <c r="K17" i="1" s="1"/>
  <c r="A17" i="1" s="1"/>
  <c r="J37" i="1"/>
  <c r="K37" i="1" s="1"/>
  <c r="J26" i="1"/>
  <c r="K26" i="1" s="1"/>
  <c r="J83" i="1"/>
  <c r="K83" i="1" s="1"/>
  <c r="J18" i="1"/>
  <c r="K18" i="1" s="1"/>
  <c r="J25" i="1"/>
  <c r="K25" i="1" s="1"/>
  <c r="J64" i="1"/>
  <c r="K64" i="1" s="1"/>
  <c r="J70" i="1"/>
  <c r="K70" i="1" s="1"/>
  <c r="J55" i="1"/>
  <c r="K55" i="1" s="1"/>
  <c r="J54" i="1"/>
  <c r="K54" i="1" s="1"/>
  <c r="K49" i="1"/>
  <c r="K48" i="1"/>
  <c r="A18" i="1" l="1"/>
  <c r="E19" i="1" s="1"/>
  <c r="K23" i="7"/>
  <c r="P16" i="5"/>
  <c r="L36" i="3"/>
  <c r="A36" i="3" s="1"/>
  <c r="A37" i="3" s="1"/>
  <c r="J38" i="3"/>
  <c r="K34" i="1"/>
  <c r="K27" i="1"/>
  <c r="K51" i="1"/>
  <c r="K33" i="1"/>
  <c r="K19" i="1"/>
  <c r="A19" i="1" s="1"/>
  <c r="A22" i="1" s="1"/>
  <c r="A23" i="1" s="1"/>
  <c r="A24" i="1" s="1"/>
  <c r="A25" i="1" s="1"/>
  <c r="K66" i="1"/>
  <c r="A26" i="1" l="1"/>
  <c r="A27" i="1" s="1"/>
  <c r="A30" i="1" s="1"/>
  <c r="A31" i="1" s="1"/>
  <c r="A32" i="1" s="1"/>
  <c r="A33" i="1" s="1"/>
  <c r="A34" i="1" s="1"/>
  <c r="A35" i="1" s="1"/>
  <c r="A37" i="1" s="1"/>
  <c r="A38" i="1" s="1"/>
  <c r="L38" i="3"/>
  <c r="A38" i="3" s="1"/>
  <c r="A40" i="3" s="1"/>
  <c r="K18" i="7"/>
  <c r="M14" i="5"/>
  <c r="Q14" i="5" s="1"/>
  <c r="S14" i="5" s="1"/>
  <c r="M15" i="5"/>
  <c r="Q15" i="5" s="1"/>
  <c r="S15" i="5" s="1"/>
  <c r="N83" i="1"/>
  <c r="O83" i="1" s="1"/>
  <c r="N55" i="1"/>
  <c r="O55" i="1" s="1"/>
  <c r="N54" i="1"/>
  <c r="O54" i="1" s="1"/>
  <c r="N25" i="1"/>
  <c r="O25" i="1" s="1"/>
  <c r="N63" i="1"/>
  <c r="O63" i="1" s="1"/>
  <c r="N70" i="1"/>
  <c r="O70" i="1" s="1"/>
  <c r="N18" i="1"/>
  <c r="O18" i="1" s="1"/>
  <c r="N26" i="1"/>
  <c r="O26" i="1" s="1"/>
  <c r="N37" i="1"/>
  <c r="O37" i="1" s="1"/>
  <c r="N17" i="1"/>
  <c r="O17" i="1" s="1"/>
  <c r="N64" i="1"/>
  <c r="O64" i="1" s="1"/>
  <c r="O65" i="1"/>
  <c r="O24" i="1"/>
  <c r="O16" i="1"/>
  <c r="K35" i="1"/>
  <c r="J35" i="1" s="1"/>
  <c r="J19" i="1"/>
  <c r="J17" i="7" s="1"/>
  <c r="Q16" i="5" l="1"/>
  <c r="S16" i="5"/>
  <c r="K24" i="7"/>
  <c r="K26" i="7" s="1"/>
  <c r="K20" i="7"/>
  <c r="J23" i="7"/>
  <c r="A17" i="7"/>
  <c r="O50" i="1"/>
  <c r="O51" i="1" s="1"/>
  <c r="O19" i="1"/>
  <c r="E30" i="1"/>
  <c r="O66" i="1"/>
  <c r="O27" i="1"/>
  <c r="O34" i="1"/>
  <c r="O33" i="1"/>
  <c r="O32" i="1"/>
  <c r="J69" i="1"/>
  <c r="K69" i="1" s="1"/>
  <c r="J82" i="1"/>
  <c r="K82" i="1" s="1"/>
  <c r="J56" i="1"/>
  <c r="K56" i="1" s="1"/>
  <c r="E31" i="1" l="1"/>
  <c r="E32" i="1"/>
  <c r="O35" i="1"/>
  <c r="N19" i="1"/>
  <c r="F41" i="2"/>
  <c r="K85" i="1"/>
  <c r="K72" i="1"/>
  <c r="K57" i="1"/>
  <c r="N69" i="1" l="1"/>
  <c r="O69" i="1" s="1"/>
  <c r="J18" i="7"/>
  <c r="N82" i="1"/>
  <c r="O82" i="1" s="1"/>
  <c r="O85" i="1" s="1"/>
  <c r="O91" i="1" s="1"/>
  <c r="E33" i="1"/>
  <c r="O72" i="1"/>
  <c r="K91" i="1"/>
  <c r="K59" i="1"/>
  <c r="J24" i="7" l="1"/>
  <c r="A18" i="7"/>
  <c r="J19" i="7"/>
  <c r="J20" i="7" s="1"/>
  <c r="E34" i="1"/>
  <c r="K39" i="1"/>
  <c r="A39" i="1" s="1"/>
  <c r="N35" i="1"/>
  <c r="N56" i="1" s="1"/>
  <c r="O56" i="1" s="1"/>
  <c r="K74" i="1"/>
  <c r="F57" i="2"/>
  <c r="A19" i="7" l="1"/>
  <c r="A20" i="7" s="1"/>
  <c r="A23" i="7" s="1"/>
  <c r="A24" i="7" s="1"/>
  <c r="J25" i="7"/>
  <c r="J26" i="7" s="1"/>
  <c r="E27" i="1"/>
  <c r="O57" i="1"/>
  <c r="K41" i="1"/>
  <c r="A41" i="1" s="1"/>
  <c r="A43" i="1" s="1"/>
  <c r="A25" i="7" l="1"/>
  <c r="A26" i="7" s="1"/>
  <c r="F71" i="2"/>
  <c r="O59" i="1"/>
  <c r="O39" i="1" s="1"/>
  <c r="K44" i="1"/>
  <c r="K76" i="1" s="1"/>
  <c r="F73" i="2"/>
  <c r="A44" i="1" l="1"/>
  <c r="A48" i="1" s="1"/>
  <c r="A49" i="1" s="1"/>
  <c r="A50" i="1" s="1"/>
  <c r="A51" i="1" s="1"/>
  <c r="A54" i="1" s="1"/>
  <c r="A55" i="1" s="1"/>
  <c r="A56" i="1" s="1"/>
  <c r="A57" i="1" s="1"/>
  <c r="A59" i="1" s="1"/>
  <c r="A62" i="1" s="1"/>
  <c r="A63" i="1" s="1"/>
  <c r="A64" i="1" s="1"/>
  <c r="A65" i="1" s="1"/>
  <c r="A66" i="1" s="1"/>
  <c r="A69" i="1" s="1"/>
  <c r="A70" i="1" s="1"/>
  <c r="A71" i="1" s="1"/>
  <c r="A72" i="1" s="1"/>
  <c r="A74" i="1" s="1"/>
  <c r="A76" i="1" s="1"/>
  <c r="A80" i="1" s="1"/>
  <c r="A81" i="1" s="1"/>
  <c r="A82" i="1" s="1"/>
  <c r="A83" i="1" s="1"/>
  <c r="A84" i="1" s="1"/>
  <c r="A85" i="1" s="1"/>
  <c r="A88" i="1" s="1"/>
  <c r="A89" i="1" s="1"/>
  <c r="A91" i="1" s="1"/>
  <c r="E41" i="1"/>
  <c r="E35" i="1"/>
  <c r="O74" i="1"/>
  <c r="O41" i="1" l="1"/>
  <c r="O44" i="1" s="1"/>
  <c r="E22" i="3"/>
  <c r="K94" i="1"/>
  <c r="A94" i="1" s="1"/>
  <c r="E44" i="1" l="1"/>
  <c r="O76" i="1"/>
  <c r="O94" i="1" s="1"/>
  <c r="G30" i="11" s="1"/>
  <c r="G14" i="11"/>
  <c r="A14" i="11" l="1"/>
  <c r="G16" i="11"/>
  <c r="E38" i="3"/>
  <c r="G32" i="11"/>
  <c r="A15" i="11" l="1"/>
  <c r="I16" i="11" s="1"/>
  <c r="G22" i="11"/>
  <c r="E51" i="1"/>
  <c r="G38" i="11"/>
  <c r="A16" i="11" l="1"/>
  <c r="G26" i="11"/>
  <c r="G24" i="11"/>
  <c r="G25" i="11" s="1"/>
  <c r="G23" i="11"/>
  <c r="G39" i="11"/>
  <c r="A19" i="11" l="1"/>
  <c r="I22" i="11" s="1"/>
  <c r="G42" i="11"/>
  <c r="G40" i="11"/>
  <c r="A22" i="11" l="1"/>
  <c r="A23" i="11" s="1"/>
  <c r="E57" i="1"/>
  <c r="G41" i="11"/>
  <c r="A24" i="11" l="1"/>
  <c r="A25" i="11" s="1"/>
  <c r="I25" i="11"/>
  <c r="I26" i="11"/>
  <c r="I23" i="11"/>
  <c r="I24" i="11"/>
  <c r="A26" i="11" l="1"/>
  <c r="A30" i="11" s="1"/>
  <c r="A31" i="11" s="1"/>
  <c r="E59" i="1"/>
  <c r="I32" i="11" l="1"/>
  <c r="A32" i="11"/>
  <c r="A35" i="11" s="1"/>
  <c r="A38" i="11" s="1"/>
  <c r="A39" i="11" l="1"/>
  <c r="A40" i="11" s="1"/>
  <c r="A41" i="11" s="1"/>
  <c r="A42" i="11" s="1"/>
  <c r="I41" i="11"/>
  <c r="I39" i="11"/>
  <c r="I42" i="11"/>
  <c r="I40" i="11"/>
  <c r="I38" i="11"/>
  <c r="E66" i="1" l="1"/>
  <c r="E72" i="1" l="1"/>
  <c r="E74" i="1"/>
  <c r="E76" i="1" l="1"/>
  <c r="E85" i="1" l="1"/>
  <c r="E91" i="1" l="1"/>
  <c r="E94" i="1"/>
</calcChain>
</file>

<file path=xl/sharedStrings.xml><?xml version="1.0" encoding="utf-8"?>
<sst xmlns="http://schemas.openxmlformats.org/spreadsheetml/2006/main" count="844" uniqueCount="461">
  <si>
    <t>Exhibit I</t>
  </si>
  <si>
    <t>No.</t>
  </si>
  <si>
    <t>(a)</t>
  </si>
  <si>
    <t>(b)</t>
  </si>
  <si>
    <t>(c)</t>
  </si>
  <si>
    <t>(d)</t>
  </si>
  <si>
    <t>(e)</t>
  </si>
  <si>
    <t>(f)</t>
  </si>
  <si>
    <t>Rate Base</t>
  </si>
  <si>
    <t>Gross Plant in Service:</t>
  </si>
  <si>
    <t>Production Plant</t>
  </si>
  <si>
    <t>General Plant</t>
  </si>
  <si>
    <t>Intangible Plant</t>
  </si>
  <si>
    <t>Total Gross Plant in Service</t>
  </si>
  <si>
    <t>Accumulated Depreciation:</t>
  </si>
  <si>
    <t>Total Accumulated Depreciation</t>
  </si>
  <si>
    <t>Net Plant In Service:</t>
  </si>
  <si>
    <t>Total Net Plant in Service</t>
  </si>
  <si>
    <t>Prepayments</t>
  </si>
  <si>
    <t>Cash Working Capital</t>
  </si>
  <si>
    <t>Total Rate Base</t>
  </si>
  <si>
    <t>Rate of Return</t>
  </si>
  <si>
    <t>Return on Rate Base</t>
  </si>
  <si>
    <t>Expenses</t>
  </si>
  <si>
    <t>Taxes Other Than Income Taxes</t>
  </si>
  <si>
    <t>Total Expenses</t>
  </si>
  <si>
    <t>Revenue Credits</t>
  </si>
  <si>
    <t>Total Revenue Credits</t>
  </si>
  <si>
    <t>Grant County Public Utility District</t>
  </si>
  <si>
    <t>Transmission Cost of Service</t>
  </si>
  <si>
    <t>Transmission</t>
  </si>
  <si>
    <t>Transmission Plant</t>
  </si>
  <si>
    <t>Materials &amp; Supplies</t>
  </si>
  <si>
    <t>Total</t>
  </si>
  <si>
    <t>Electric</t>
  </si>
  <si>
    <t>Source/Reference</t>
  </si>
  <si>
    <t>Allocator</t>
  </si>
  <si>
    <t>Type</t>
  </si>
  <si>
    <t>%</t>
  </si>
  <si>
    <t>Allocated to</t>
  </si>
  <si>
    <t>Development of Allocators</t>
  </si>
  <si>
    <t>Line</t>
  </si>
  <si>
    <t>$</t>
  </si>
  <si>
    <t>Allocation</t>
  </si>
  <si>
    <t>($ / Allocation)</t>
  </si>
  <si>
    <t xml:space="preserve"> </t>
  </si>
  <si>
    <t>FERC Acct Name</t>
  </si>
  <si>
    <t>GCPUD Description</t>
  </si>
  <si>
    <t>Gross Plant</t>
  </si>
  <si>
    <t xml:space="preserve">Accumulated </t>
  </si>
  <si>
    <t>Depreciation</t>
  </si>
  <si>
    <t>Net Plant</t>
  </si>
  <si>
    <t>Expense</t>
  </si>
  <si>
    <t>Organization</t>
  </si>
  <si>
    <t>Franchises and consents</t>
  </si>
  <si>
    <t>Miscellaneous intangible plant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</si>
  <si>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</si>
  <si>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</si>
  <si>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</si>
  <si>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</si>
  <si>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</si>
  <si>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</si>
  <si>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</si>
  <si>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</si>
  <si>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</si>
  <si>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Station Equipment</t>
  </si>
  <si>
    <t>Towers and fixtures</t>
  </si>
  <si>
    <t>Poles and fixtures</t>
  </si>
  <si>
    <t>Overhead conductors and devices</t>
  </si>
  <si>
    <t>Roads and trails</t>
  </si>
  <si>
    <t>Distribution Plant</t>
  </si>
  <si>
    <t>Line Transformers</t>
  </si>
  <si>
    <t>Meters</t>
  </si>
  <si>
    <t>Station equipment</t>
  </si>
  <si>
    <t>Poles, towers and fixturs</t>
  </si>
  <si>
    <t>Underground conduit</t>
  </si>
  <si>
    <t>Underground conductors and devices</t>
  </si>
  <si>
    <t>Services</t>
  </si>
  <si>
    <t>Street lighting and signal systems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</si>
  <si>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</si>
  <si>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</si>
  <si>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</si>
  <si>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</si>
  <si>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</si>
  <si>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</si>
  <si>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</si>
  <si>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</si>
  <si>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FERC</t>
  </si>
  <si>
    <t>Acct No.</t>
  </si>
  <si>
    <t>Exhibit II</t>
  </si>
  <si>
    <t>Gross Plant Investments, Accumulated Depreciation and Depreciation Expense</t>
  </si>
  <si>
    <t>in Service</t>
  </si>
  <si>
    <t>Subtotal Intangible Plant</t>
  </si>
  <si>
    <t>Subtotal Production Plant</t>
  </si>
  <si>
    <t>Subtotal Transmission Plant</t>
  </si>
  <si>
    <t>Subtotal Distribution Plant</t>
  </si>
  <si>
    <t>Subtotal General Plant</t>
  </si>
  <si>
    <t>Intangible</t>
  </si>
  <si>
    <t>Note A</t>
  </si>
  <si>
    <t>Note B</t>
  </si>
  <si>
    <t xml:space="preserve">Transmission Plant Included in Rates  </t>
  </si>
  <si>
    <t>balances on Grant PUD's books are adjusted to reflect the removal of such costs from the transmission function.</t>
  </si>
  <si>
    <t>Notes</t>
  </si>
  <si>
    <t>A</t>
  </si>
  <si>
    <t>Removes transmission plant determined  to be state-jurisdictional by FERC order according to the seven-factor test (e.g., radial facilities), until</t>
  </si>
  <si>
    <t>B</t>
  </si>
  <si>
    <t>(g)</t>
  </si>
  <si>
    <t>(h)</t>
  </si>
  <si>
    <t>Operations &amp; Maintenance Expenses and Administrative &amp; General Expenses</t>
  </si>
  <si>
    <t>Transmission O&amp;M Expenses:</t>
  </si>
  <si>
    <t>Total Transmission O&amp;M Expenses</t>
  </si>
  <si>
    <t>Administrative &amp; General Expenses</t>
  </si>
  <si>
    <t>Adjustments</t>
  </si>
  <si>
    <t>Adjusted</t>
  </si>
  <si>
    <t>Total A&amp;G Expenses</t>
  </si>
  <si>
    <t>Rents</t>
  </si>
  <si>
    <t>Operation Supervision and Engineering</t>
  </si>
  <si>
    <t xml:space="preserve">Load Dispatching </t>
  </si>
  <si>
    <t xml:space="preserve">Station Expenses </t>
  </si>
  <si>
    <t xml:space="preserve">Overhead Lines Expenses </t>
  </si>
  <si>
    <t>Transmission of Electricity by Others</t>
  </si>
  <si>
    <t xml:space="preserve">Miscellaneous Transmission Expenses </t>
  </si>
  <si>
    <t xml:space="preserve">Maintenance of Station Equipment </t>
  </si>
  <si>
    <t xml:space="preserve">Maintenance of Overhead Lines </t>
  </si>
  <si>
    <t>(Note B)</t>
  </si>
  <si>
    <t>Comments re: Adjustments</t>
  </si>
  <si>
    <t>Exhibit III</t>
  </si>
  <si>
    <t>O&amp;M Expenses:</t>
  </si>
  <si>
    <t>Transmission O&amp;M</t>
  </si>
  <si>
    <t>Total A&amp;G</t>
  </si>
  <si>
    <t>Allocable A&amp;G Expenses:</t>
  </si>
  <si>
    <t>Total O&amp;M Expenses</t>
  </si>
  <si>
    <t>N/A</t>
  </si>
  <si>
    <t>C</t>
  </si>
  <si>
    <t>TRANSMISSION PLANT INCLUDED IN RATES:</t>
  </si>
  <si>
    <t>WAGES &amp; SALARY ALLOCATOR (W&amp;S):</t>
  </si>
  <si>
    <t>1/8 of O&amp;M</t>
  </si>
  <si>
    <t>1/8</t>
  </si>
  <si>
    <t>Total Transmission Gross Plant</t>
  </si>
  <si>
    <t>Plus Property Insurance (Account 924)</t>
  </si>
  <si>
    <t>Depreciation Expenses:</t>
  </si>
  <si>
    <t>General</t>
  </si>
  <si>
    <t>Total Depreciation Expenses</t>
  </si>
  <si>
    <t>Total O&amp;M and A&amp;G Expenses</t>
  </si>
  <si>
    <t>Materials and Supplies and Prepayments</t>
  </si>
  <si>
    <t>Materials and Supplies:</t>
  </si>
  <si>
    <t>1001-154110 Elect Revenue-Plant Matls/Stores</t>
  </si>
  <si>
    <t>1001-163020 Elect Revenue-Inventory Count Variance</t>
  </si>
  <si>
    <t>Total Materials and Supplies</t>
  </si>
  <si>
    <t>Plant Materials and Operating Supplies</t>
  </si>
  <si>
    <t>Stores Expense Undistributed</t>
  </si>
  <si>
    <t>Exhibit IV</t>
  </si>
  <si>
    <t>7001-165030 PRP Revenue-Prepayments Water Rights</t>
  </si>
  <si>
    <t>Total Prepayments</t>
  </si>
  <si>
    <t>Exhibit V</t>
  </si>
  <si>
    <t>Return/Capitalization Calculations:</t>
  </si>
  <si>
    <t>Capital Component</t>
  </si>
  <si>
    <t>Capitalization</t>
  </si>
  <si>
    <t>Ratio (Note A)</t>
  </si>
  <si>
    <t>Target capitalization ratio established by Grant County PUD.</t>
  </si>
  <si>
    <t>Cost of</t>
  </si>
  <si>
    <t>Capital</t>
  </si>
  <si>
    <t>Weighted Average</t>
  </si>
  <si>
    <t>Cost of Capital</t>
  </si>
  <si>
    <t xml:space="preserve">which are both interconnected with Grant County PUD.  Avista Corporation is also interconnected to the Grant </t>
  </si>
  <si>
    <t xml:space="preserve">County PUD transmission system.  However, Avista's transmission rate is currently based on a stated rate and, </t>
  </si>
  <si>
    <t>therefore, there is no specific ROE that has been identified in the determination of the transmission rate (i.e.,</t>
  </si>
  <si>
    <t>based on a settled black box).</t>
  </si>
  <si>
    <t>Taxes Other Than Income Taxes:</t>
  </si>
  <si>
    <t>Exhibit VI</t>
  </si>
  <si>
    <t>1001-236110 Elect Revenue-Accrd Tax Public Util</t>
  </si>
  <si>
    <t>Accrued Taxes:</t>
  </si>
  <si>
    <t>Taxes Accrued</t>
  </si>
  <si>
    <t>Total Accrued Taxes</t>
  </si>
  <si>
    <t>Plant Related</t>
  </si>
  <si>
    <t>Labor Related</t>
  </si>
  <si>
    <t>Plant</t>
  </si>
  <si>
    <t>Labor</t>
  </si>
  <si>
    <t>Other</t>
  </si>
  <si>
    <t>Comments re: Allocation</t>
  </si>
  <si>
    <t>(Note A)</t>
  </si>
  <si>
    <t>(i)</t>
  </si>
  <si>
    <t>Other Related</t>
  </si>
  <si>
    <t>Total Taxes Other Than Income Taxes</t>
  </si>
  <si>
    <t>Average cost of Grant County PUD's outstanding long-term debt.</t>
  </si>
  <si>
    <t xml:space="preserve">Cost of equity based on the FERC approved return on equities (ROE) of PacifiCorp and Puget Sound Energy, </t>
  </si>
  <si>
    <t>Loads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</si>
  <si>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</si>
  <si>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</si>
  <si>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</si>
  <si>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</si>
  <si>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</si>
  <si>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</si>
  <si>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</si>
  <si>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</si>
  <si>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</si>
  <si>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</si>
  <si>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</si>
  <si>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</si>
  <si>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</si>
  <si>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Calc'd GCPD_BA_LOAD MMAX</t>
  </si>
  <si>
    <t>Line No.</t>
  </si>
  <si>
    <t>Calc'd GCPD_BA_LOAD MMAX TIME</t>
  </si>
  <si>
    <t>System Load</t>
  </si>
  <si>
    <t>Schrag</t>
  </si>
  <si>
    <t>Kittitas</t>
  </si>
  <si>
    <t>Palisades</t>
  </si>
  <si>
    <t>USBR Large Loads</t>
  </si>
  <si>
    <t>USBR Small Loads Estimate</t>
  </si>
  <si>
    <t>Calc'd GCPD_SYST_LOAD MMAX</t>
  </si>
  <si>
    <t>Calc'd GCPD_SYST_LOAD MMAX TIME</t>
  </si>
  <si>
    <t>BA Load</t>
  </si>
  <si>
    <t>(j)</t>
  </si>
  <si>
    <t>(k)</t>
  </si>
  <si>
    <t>(l)</t>
  </si>
  <si>
    <t>(m)</t>
  </si>
  <si>
    <t>Exhibit VII</t>
  </si>
  <si>
    <t>Exhibit VIII</t>
  </si>
  <si>
    <t>1001-450000 Elect Revenue-Penalty For Late Payment</t>
  </si>
  <si>
    <t>1001-451000 Elect Revenue-Misc Service Revenue</t>
  </si>
  <si>
    <t>1001-456000 Elect Revenue-Other Electric Revenues</t>
  </si>
  <si>
    <t>Forfeited Discounts</t>
  </si>
  <si>
    <t>Miscellaneous Service Revenues</t>
  </si>
  <si>
    <t>Rent from Electric Property</t>
  </si>
  <si>
    <t>Total Other Revenues</t>
  </si>
  <si>
    <t>Related to retail service.</t>
  </si>
  <si>
    <t>Other Revenues: (Note A)</t>
  </si>
  <si>
    <t>Other Electric Revenues</t>
  </si>
  <si>
    <t>Wheeling Revenues: (Note B)</t>
  </si>
  <si>
    <t>Puget Sound Energy</t>
  </si>
  <si>
    <t>Vantage Energy</t>
  </si>
  <si>
    <t>Total Wheeling Revenues</t>
  </si>
  <si>
    <t>Facilities with DSO</t>
  </si>
  <si>
    <t>Other Revenues (Accounts 450, 451, 454)</t>
  </si>
  <si>
    <t>100% Transmission Plant Related</t>
  </si>
  <si>
    <t>Total Other Revenues  (Accounts 450, 451, 454)</t>
  </si>
  <si>
    <t>Wheeling Revenues Not Accounted for in Rate Divisor</t>
  </si>
  <si>
    <t>Appendix B</t>
  </si>
  <si>
    <t>Units</t>
  </si>
  <si>
    <t>Source / Comment</t>
  </si>
  <si>
    <t>Annual Revenue Requirement:</t>
  </si>
  <si>
    <t>($)</t>
  </si>
  <si>
    <t>Rate Divisor: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</si>
  <si>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</si>
  <si>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</si>
  <si>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</si>
  <si>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</si>
  <si>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</si>
  <si>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</si>
  <si>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</si>
  <si>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</si>
  <si>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</si>
  <si>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Transmission Rates</t>
  </si>
  <si>
    <t>Revenue Requirements &amp; Rates</t>
  </si>
  <si>
    <t>Revenue Requirement</t>
  </si>
  <si>
    <t>Description</t>
  </si>
  <si>
    <t xml:space="preserve">General </t>
  </si>
  <si>
    <t>Distribution</t>
  </si>
  <si>
    <t>(Less) Property Insurance (Account 924) Included in Total A&amp;G</t>
  </si>
  <si>
    <t>(Less) Transmission of Electricity by Others (Account 565)</t>
  </si>
  <si>
    <t>Line 1 - Line 2 - Line 3</t>
  </si>
  <si>
    <t>T/D Allocation</t>
  </si>
  <si>
    <t>T Allocator</t>
  </si>
  <si>
    <t>GTP=</t>
  </si>
  <si>
    <t>GDP</t>
  </si>
  <si>
    <t>GDP=</t>
  </si>
  <si>
    <t>D Allocator</t>
  </si>
  <si>
    <t>DISTRIBUTION PLANT INCLUDED IN RATES:</t>
  </si>
  <si>
    <t>Total Distribution Gross Plant</t>
  </si>
  <si>
    <t>Percentage of Gross Distribution Plant Included in Rates</t>
  </si>
  <si>
    <t>DP=</t>
  </si>
  <si>
    <t>NDP=</t>
  </si>
  <si>
    <t>NTP=</t>
  </si>
  <si>
    <t>NDP</t>
  </si>
  <si>
    <t>NTP</t>
  </si>
  <si>
    <t>Distribution O&amp;M</t>
  </si>
  <si>
    <t>Gross Revenue Requirement</t>
  </si>
  <si>
    <t>Distribution O&amp;M Expenses:</t>
  </si>
  <si>
    <t>GTP</t>
  </si>
  <si>
    <t>Wholesale</t>
  </si>
  <si>
    <t>100% Distribution Plant Related</t>
  </si>
  <si>
    <t>Firm Point to Point Load</t>
  </si>
  <si>
    <t>(n)</t>
  </si>
  <si>
    <t>(o)</t>
  </si>
  <si>
    <t>Total System Load</t>
  </si>
  <si>
    <t>Adjusted System Load</t>
  </si>
  <si>
    <t>(p)</t>
  </si>
  <si>
    <t>(e)+(f)+(g)+(h)+(i)+(j)</t>
  </si>
  <si>
    <t>(l)-(m)</t>
  </si>
  <si>
    <t>Sub 115kV System Load</t>
  </si>
  <si>
    <t>Total Plant</t>
  </si>
  <si>
    <t>Accounts 360-364</t>
  </si>
  <si>
    <t>Accounts 360-364 plus Accounts 368-373</t>
  </si>
  <si>
    <t>Hourly</t>
  </si>
  <si>
    <t>$/kWh</t>
  </si>
  <si>
    <t>Tacoma Power</t>
  </si>
  <si>
    <t>Exh II - Plant Data</t>
  </si>
  <si>
    <t>NA</t>
  </si>
  <si>
    <t>Production</t>
  </si>
  <si>
    <t>Other - Non General</t>
  </si>
  <si>
    <t>Loads reflect NCP billing determinants</t>
  </si>
  <si>
    <t>115/230 Only Load During Peak</t>
  </si>
  <si>
    <t>Seattle City Light</t>
  </si>
  <si>
    <t>Exchange/PTP-LTF</t>
  </si>
  <si>
    <t>(Note C)</t>
  </si>
  <si>
    <t>DA</t>
  </si>
  <si>
    <t>(Note D)</t>
  </si>
  <si>
    <t xml:space="preserve">Total Distribution Plant Included in Rates  </t>
  </si>
  <si>
    <t>Operation supervision and engineering</t>
  </si>
  <si>
    <t xml:space="preserve"> Maintenance of hydraulic production plant (Nonmajor only)</t>
  </si>
  <si>
    <t>Load dispatching</t>
  </si>
  <si>
    <t>Station expenses</t>
  </si>
  <si>
    <t>Overhead line expenses</t>
  </si>
  <si>
    <t>Underground line expenses</t>
  </si>
  <si>
    <t>Maintenance supervision and engineering</t>
  </si>
  <si>
    <t>Maintenance of station equipment</t>
  </si>
  <si>
    <t>Maintenance of overhead lines</t>
  </si>
  <si>
    <t>Maintenance of underground lines</t>
  </si>
  <si>
    <t>No</t>
  </si>
  <si>
    <t>Acct No</t>
  </si>
  <si>
    <t>Meter expenses</t>
  </si>
  <si>
    <t>Customer installations expenses</t>
  </si>
  <si>
    <t>Miscellaneous distribution expenses</t>
  </si>
  <si>
    <t>Maintenance of street lighting and signal systems</t>
  </si>
  <si>
    <t>Maintenance of meters</t>
  </si>
  <si>
    <t xml:space="preserve"> Operation supervision and engineering</t>
  </si>
  <si>
    <t xml:space="preserve"> Rents</t>
  </si>
  <si>
    <t xml:space="preserve"> Maintenance supervision and engineering (Major only)</t>
  </si>
  <si>
    <t xml:space="preserve"> Maintenance of structures (Major only)</t>
  </si>
  <si>
    <t xml:space="preserve"> Maintenance of electric plant (Major only)</t>
  </si>
  <si>
    <t xml:space="preserve"> Water for power</t>
  </si>
  <si>
    <t xml:space="preserve"> Maintenance of reservoirs, dams and waterways (Major only)</t>
  </si>
  <si>
    <t xml:space="preserve"> Maintenance of miscellaneous hydraulic plant (Major only)</t>
  </si>
  <si>
    <t xml:space="preserve"> Electric O&amp;M Expensess (Major only)</t>
  </si>
  <si>
    <t xml:space="preserve"> Operation supplies and O&amp;M Expensess (Nonmajor only)</t>
  </si>
  <si>
    <t>Hydraulic Power Generation O&amp;M Expenses</t>
  </si>
  <si>
    <t xml:space="preserve"> Hydraulic O&amp;M Expensess (Major only)</t>
  </si>
  <si>
    <t xml:space="preserve"> Miscellaneous hydraulic power generation O&amp;M Expensess (Major only)</t>
  </si>
  <si>
    <t>Total Hydraulic Power Generation O&amp;M Expenses</t>
  </si>
  <si>
    <t>Total Distribution O&amp;M Expenses</t>
  </si>
  <si>
    <t>Not Included in Wholesale Delivery Rates</t>
  </si>
  <si>
    <t>Long Term Debt</t>
  </si>
  <si>
    <t>Proprietary Capital</t>
  </si>
  <si>
    <t>Distribution - Total System</t>
  </si>
  <si>
    <t>Transmission - Total System</t>
  </si>
  <si>
    <t>WSPP</t>
  </si>
  <si>
    <t>WSPP =</t>
  </si>
  <si>
    <t>Customer Service and Information System Expense</t>
  </si>
  <si>
    <t>Customer Accounts Expense</t>
  </si>
  <si>
    <t>Total Customer Accounts Expense</t>
  </si>
  <si>
    <t>Total Customer Service and Information System Expense</t>
  </si>
  <si>
    <t>Total Sales Expense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</si>
  <si>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</si>
  <si>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</si>
  <si>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</si>
  <si>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</si>
  <si>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</si>
  <si>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</si>
  <si>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</si>
  <si>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</si>
  <si>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</si>
  <si>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</si>
  <si>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</si>
  <si>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</si>
  <si>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Transportation expenses (Nonmajor only)</t>
  </si>
  <si>
    <t>Maintenance of general plant</t>
  </si>
  <si>
    <t>Supervision (Major only)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</si>
  <si>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</si>
  <si>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</si>
  <si>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</si>
  <si>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</si>
  <si>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Net Revenue Requirement</t>
  </si>
  <si>
    <t>Exclude</t>
  </si>
  <si>
    <t>Allocate</t>
  </si>
  <si>
    <t>Fully Utilized</t>
  </si>
  <si>
    <t>USBR Large</t>
  </si>
  <si>
    <t>539.R1</t>
  </si>
  <si>
    <t>545.R1</t>
  </si>
  <si>
    <t>Licensing Compliance and Related Agreements</t>
  </si>
  <si>
    <t>Total Licensing Compliance and Related Agreements</t>
  </si>
  <si>
    <t>928.R1</t>
  </si>
  <si>
    <t>Meter reading expenses</t>
  </si>
  <si>
    <t>Customer records and collection expenses</t>
  </si>
  <si>
    <t>Uncollectible accounts</t>
  </si>
  <si>
    <t>Miscellaneous customer accounts expenses (Major only)</t>
  </si>
  <si>
    <t>935.R1</t>
  </si>
  <si>
    <t>Fiber Optic Network O&amp;M</t>
  </si>
  <si>
    <t>Subtotal Hydry Production Plant</t>
  </si>
  <si>
    <t>115kV - 230kV WHOLESALE SERVICE RATES</t>
  </si>
  <si>
    <t>SUB-115kV WHOLESALE SERVICE RATES</t>
  </si>
  <si>
    <t>Net Sub-115kV Wholesale Revenue Requirement</t>
  </si>
  <si>
    <t>Amounts</t>
  </si>
  <si>
    <t>Net Transmission Revenue Requirement (Note A)</t>
  </si>
  <si>
    <t>Sub-115kV Wholesale Service Rates</t>
  </si>
  <si>
    <t>115kV - 230kV Wholesale Service Rates:</t>
  </si>
  <si>
    <t>WST =</t>
  </si>
  <si>
    <t>WSD =</t>
  </si>
  <si>
    <t>WST</t>
  </si>
  <si>
    <t>WSD</t>
  </si>
  <si>
    <t>Fiscal Year Ending December 31, 2018</t>
  </si>
  <si>
    <t>in WS Service</t>
  </si>
  <si>
    <t>WHOLESALE GROSS DISTRIBUTUION PLANT:</t>
  </si>
  <si>
    <t>Wholesale Gross Distribution Plant Allocator</t>
  </si>
  <si>
    <t>Total System Load Plus Firm Point to Point</t>
  </si>
  <si>
    <t>Exclude General Advertising</t>
  </si>
  <si>
    <t>930.2R1</t>
  </si>
  <si>
    <t>Reclass Yakama Settlement Exp to Licensing and Agreements</t>
  </si>
  <si>
    <t>Wholesale service distribution system utilization factors are determined by GCPUD Management.</t>
  </si>
  <si>
    <t xml:space="preserve">(c) </t>
  </si>
  <si>
    <t xml:space="preserve">(e) </t>
  </si>
  <si>
    <t>Reclass from Acct. 935; Not Included in Wholesale Rate Formula</t>
  </si>
  <si>
    <t>Reclass from Acct 930.2; Not Included in Wholesale Rate Formula</t>
  </si>
  <si>
    <t>Reclass from Acct. 539; Not Included in Wholesale Rate Formula</t>
  </si>
  <si>
    <t>Reclass from Acct. 545; Not Included in Wholesale Rate Formula</t>
  </si>
  <si>
    <t>Reclass Yakama Settlement Expense from Acct. 928; Not Included in Wholesale Rate Formula</t>
  </si>
  <si>
    <t>(l)+(n)</t>
  </si>
  <si>
    <t>Wholesale Service Wheeling Rates include scheduling and dispatch service.</t>
  </si>
  <si>
    <t>Less Distribution Plant Included in Transmission Accounts</t>
  </si>
  <si>
    <t>Less Transmission Plant Included in Ancillary Services</t>
  </si>
  <si>
    <t>Plus Distributuion Plant Included in Transmission Accounts</t>
  </si>
  <si>
    <t>Less Distribution Plant Included in Ancillary Services</t>
  </si>
  <si>
    <t>Adjustments to be identified in column (i).</t>
  </si>
  <si>
    <t>Adjustments to be identified in column (f)</t>
  </si>
  <si>
    <t>Average</t>
  </si>
  <si>
    <t>Grant County PUD has no firm point to point customers as of December 31, 2018.</t>
  </si>
  <si>
    <t>Allocations:</t>
  </si>
  <si>
    <t>Production and Other</t>
  </si>
  <si>
    <t>Total Accrued Taxes:</t>
  </si>
  <si>
    <t>Allocators:</t>
  </si>
  <si>
    <t>Reference</t>
  </si>
  <si>
    <t>100% - Line 3 - Line 4</t>
  </si>
  <si>
    <t>Line 3 * Line 7</t>
  </si>
  <si>
    <t>Line 4 * Line 8</t>
  </si>
  <si>
    <t>Line 5 * Line 9</t>
  </si>
  <si>
    <t>Sum of Lines 1-2</t>
  </si>
  <si>
    <t>Line 3 + Line 4</t>
  </si>
  <si>
    <t>Wages and Salareis Allocator</t>
  </si>
  <si>
    <t>Allocators</t>
  </si>
  <si>
    <t>Fiber Optic Expense Included in Acct 930</t>
  </si>
  <si>
    <t>Fiber Optic Expense Included in Acct 935</t>
  </si>
  <si>
    <t>WHOLESALE GROSS PRODUCTION PLANT</t>
  </si>
  <si>
    <t>(f)*(g)</t>
  </si>
  <si>
    <t>(f)*(h)</t>
  </si>
  <si>
    <t>(f)*(i)</t>
  </si>
  <si>
    <t>(j)+(k)+(l)</t>
  </si>
  <si>
    <t>Transmission Plant Inclusion Ratio</t>
  </si>
  <si>
    <t>DPI=</t>
  </si>
  <si>
    <t>TPI=</t>
  </si>
  <si>
    <t>WSDP=</t>
  </si>
  <si>
    <t>Net 115kV-230kV Wholesale Revenue Requirement</t>
  </si>
  <si>
    <t>Distribution Plant Inclusion Ratio</t>
  </si>
  <si>
    <t>Loads - NCP (Note A)</t>
  </si>
  <si>
    <t>Distribution System - Utilization Ratios for Wholesale Service (Note A)</t>
  </si>
  <si>
    <t>Removes dollar amount of plant included in the development of ancillary services rates (e.g., generation step-up facilities)</t>
  </si>
  <si>
    <t>Net Distribution Revenue Requirement</t>
  </si>
  <si>
    <t>Draft as of July 25, 2019</t>
  </si>
  <si>
    <t>Maintenance of Stuctures/Computer</t>
  </si>
  <si>
    <t xml:space="preserve">Maintenance of Underground Lines </t>
  </si>
  <si>
    <t>Maintenance of Miscellaneous Transmission Plant</t>
  </si>
  <si>
    <t>Maintenance of Transmision Plant (Non-Major)</t>
  </si>
  <si>
    <t>Appendix A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</si>
</sst>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ZapfCalligr BT"/>
    </font>
    <font>
      <sz val="10"/>
      <name val="Times New Roman"/>
      <family val="1"/>
    </font>
    <font>
      <u/>
      <sz val="11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1" fontId="3" fillId="0" borderId="0" xfId="0" applyNumberFormat="1" applyFont="1"/>
    <xf numFmtId="41" fontId="3" fillId="0" borderId="0" xfId="0" applyNumberFormat="1" applyFont="1" applyBorder="1"/>
    <xf numFmtId="0" fontId="2" fillId="0" borderId="0" xfId="0" applyFont="1" applyAlignment="1">
      <alignment horizontal="left" indent="2"/>
    </xf>
    <xf numFmtId="41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41" fontId="3" fillId="0" borderId="3" xfId="0" applyNumberFormat="1" applyFont="1" applyBorder="1"/>
    <xf numFmtId="41" fontId="3" fillId="0" borderId="0" xfId="0" applyNumberFormat="1" applyFont="1" applyFill="1" applyBorder="1"/>
    <xf numFmtId="41" fontId="3" fillId="0" borderId="3" xfId="0" applyNumberFormat="1" applyFont="1" applyFill="1" applyBorder="1"/>
    <xf numFmtId="10" fontId="3" fillId="0" borderId="0" xfId="0" applyNumberFormat="1" applyFont="1" applyFill="1"/>
    <xf numFmtId="10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left" indent="1"/>
    </xf>
    <xf numFmtId="41" fontId="2" fillId="0" borderId="0" xfId="0" applyNumberFormat="1" applyFont="1" applyFill="1" applyBorder="1"/>
    <xf numFmtId="0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/>
    <xf numFmtId="0" fontId="5" fillId="0" borderId="0" xfId="0" applyFont="1" applyAlignme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165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7" fillId="0" borderId="0" xfId="1" applyNumberFormat="1" applyFont="1"/>
    <xf numFmtId="164" fontId="7" fillId="0" borderId="3" xfId="1" applyNumberFormat="1" applyFont="1" applyBorder="1"/>
    <xf numFmtId="0" fontId="8" fillId="0" borderId="0" xfId="0" applyFont="1" applyAlignment="1">
      <alignment horizontal="left" indent="1"/>
    </xf>
    <xf numFmtId="164" fontId="7" fillId="4" borderId="0" xfId="1" applyNumberFormat="1" applyFont="1" applyFill="1"/>
    <xf numFmtId="0" fontId="7" fillId="0" borderId="0" xfId="0" applyFont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164" fontId="7" fillId="0" borderId="3" xfId="1" applyNumberFormat="1" applyFont="1" applyFill="1" applyBorder="1"/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/>
    <xf numFmtId="0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Border="1" applyProtection="1">
      <protection locked="0"/>
    </xf>
    <xf numFmtId="0" fontId="5" fillId="0" borderId="0" xfId="0" applyNumberFormat="1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left" indent="2"/>
      <protection locked="0"/>
    </xf>
    <xf numFmtId="41" fontId="3" fillId="0" borderId="0" xfId="0" quotePrefix="1" applyNumberFormat="1" applyFont="1" applyFill="1"/>
    <xf numFmtId="10" fontId="5" fillId="0" borderId="0" xfId="2" applyNumberFormat="1" applyFont="1" applyAlignment="1" applyProtection="1">
      <alignment horizontal="right"/>
    </xf>
    <xf numFmtId="10" fontId="5" fillId="0" borderId="0" xfId="2" applyNumberFormat="1" applyFont="1" applyAlignment="1" applyProtection="1"/>
    <xf numFmtId="10" fontId="3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164" fontId="7" fillId="0" borderId="0" xfId="1" applyNumberFormat="1" applyFont="1" applyBorder="1"/>
    <xf numFmtId="41" fontId="2" fillId="0" borderId="0" xfId="0" applyNumberFormat="1" applyFont="1" applyBorder="1"/>
    <xf numFmtId="10" fontId="2" fillId="0" borderId="0" xfId="2" applyNumberFormat="1" applyFont="1"/>
    <xf numFmtId="10" fontId="3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0" xfId="0" quotePrefix="1" applyFont="1" applyAlignment="1">
      <alignment horizontal="center"/>
    </xf>
    <xf numFmtId="0" fontId="2" fillId="0" borderId="0" xfId="0" applyFont="1" applyFill="1" applyAlignment="1"/>
    <xf numFmtId="0" fontId="8" fillId="0" borderId="2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1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167" fontId="7" fillId="0" borderId="0" xfId="1" applyNumberFormat="1" applyFont="1"/>
    <xf numFmtId="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5" fillId="0" borderId="0" xfId="3" applyFont="1" applyFill="1" applyAlignment="1" applyProtection="1">
      <alignment horizontal="centerContinuous"/>
    </xf>
    <xf numFmtId="0" fontId="5" fillId="0" borderId="0" xfId="3" applyFont="1" applyFill="1" applyProtection="1"/>
    <xf numFmtId="0" fontId="5" fillId="0" borderId="0" xfId="3" applyFont="1" applyFill="1"/>
    <xf numFmtId="0" fontId="6" fillId="0" borderId="0" xfId="3" applyFont="1" applyFill="1" applyAlignment="1" applyProtection="1">
      <alignment horizontal="centerContinuous"/>
    </xf>
    <xf numFmtId="0" fontId="6" fillId="0" borderId="0" xfId="3" applyFont="1" applyFill="1" applyAlignment="1" applyProtection="1">
      <alignment horizontal="center"/>
    </xf>
    <xf numFmtId="0" fontId="6" fillId="0" borderId="4" xfId="3" applyFont="1" applyFill="1" applyBorder="1" applyAlignment="1" applyProtection="1">
      <alignment horizontal="center"/>
    </xf>
    <xf numFmtId="0" fontId="5" fillId="0" borderId="4" xfId="3" applyFont="1" applyFill="1" applyBorder="1" applyProtection="1"/>
    <xf numFmtId="0" fontId="6" fillId="0" borderId="0" xfId="3" quotePrefix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left" indent="1"/>
    </xf>
    <xf numFmtId="49" fontId="5" fillId="0" borderId="0" xfId="3" applyNumberFormat="1" applyFont="1" applyFill="1" applyAlignment="1" applyProtection="1">
      <alignment horizontal="center"/>
    </xf>
    <xf numFmtId="164" fontId="5" fillId="0" borderId="0" xfId="4" applyNumberFormat="1" applyFont="1" applyFill="1" applyProtection="1"/>
    <xf numFmtId="49" fontId="5" fillId="0" borderId="0" xfId="3" applyNumberFormat="1" applyFont="1" applyFill="1" applyProtection="1"/>
    <xf numFmtId="49" fontId="5" fillId="0" borderId="0" xfId="3" quotePrefix="1" applyNumberFormat="1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centerContinuous"/>
    </xf>
    <xf numFmtId="41" fontId="2" fillId="0" borderId="5" xfId="0" applyNumberFormat="1" applyFont="1" applyFill="1" applyBorder="1"/>
    <xf numFmtId="0" fontId="8" fillId="0" borderId="0" xfId="0" applyFont="1" applyAlignment="1"/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167" fontId="7" fillId="0" borderId="0" xfId="1" applyNumberFormat="1" applyFont="1" applyFill="1"/>
    <xf numFmtId="164" fontId="5" fillId="0" borderId="0" xfId="1" applyNumberFormat="1" applyFont="1" applyFill="1" applyProtection="1"/>
    <xf numFmtId="10" fontId="7" fillId="0" borderId="0" xfId="2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4" fontId="5" fillId="0" borderId="0" xfId="5" applyFont="1" applyFill="1" applyProtection="1"/>
    <xf numFmtId="169" fontId="5" fillId="0" borderId="0" xfId="5" applyNumberFormat="1" applyFont="1" applyFill="1" applyProtection="1"/>
    <xf numFmtId="44" fontId="5" fillId="0" borderId="0" xfId="5" applyNumberFormat="1" applyFont="1" applyFill="1" applyProtection="1"/>
    <xf numFmtId="0" fontId="11" fillId="0" borderId="0" xfId="0" applyFont="1"/>
    <xf numFmtId="3" fontId="5" fillId="0" borderId="0" xfId="0" applyNumberFormat="1" applyFont="1" applyFill="1" applyAlignment="1" applyProtection="1">
      <protection locked="0"/>
    </xf>
    <xf numFmtId="168" fontId="5" fillId="0" borderId="0" xfId="5" applyNumberFormat="1" applyFont="1" applyAlignment="1" applyProtection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Alignment="1" applyProtection="1"/>
    <xf numFmtId="164" fontId="5" fillId="0" borderId="2" xfId="1" applyNumberFormat="1" applyFont="1" applyBorder="1" applyAlignment="1" applyProtection="1"/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1" applyNumberFormat="1" applyFont="1" applyFill="1" applyBorder="1"/>
    <xf numFmtId="167" fontId="7" fillId="0" borderId="3" xfId="1" applyNumberFormat="1" applyFont="1" applyFill="1" applyBorder="1"/>
    <xf numFmtId="164" fontId="7" fillId="0" borderId="0" xfId="1" applyNumberFormat="1" applyFont="1" applyFill="1"/>
    <xf numFmtId="10" fontId="7" fillId="0" borderId="0" xfId="0" applyNumberFormat="1" applyFont="1" applyFill="1"/>
    <xf numFmtId="166" fontId="7" fillId="0" borderId="3" xfId="0" applyNumberFormat="1" applyFont="1" applyFill="1" applyBorder="1"/>
    <xf numFmtId="10" fontId="7" fillId="0" borderId="3" xfId="0" applyNumberFormat="1" applyFont="1" applyFill="1" applyBorder="1"/>
    <xf numFmtId="164" fontId="5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0" fontId="3" fillId="0" borderId="0" xfId="2" applyNumberFormat="1" applyFont="1" applyFill="1" applyAlignment="1">
      <alignment horizontal="right"/>
    </xf>
    <xf numFmtId="10" fontId="3" fillId="0" borderId="0" xfId="2" applyNumberFormat="1" applyFont="1" applyAlignment="1">
      <alignment horizontal="right"/>
    </xf>
    <xf numFmtId="10" fontId="2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2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8" fontId="7" fillId="0" borderId="0" xfId="5" applyNumberFormat="1" applyFont="1" applyFill="1"/>
    <xf numFmtId="168" fontId="7" fillId="0" borderId="3" xfId="5" applyNumberFormat="1" applyFont="1" applyFill="1" applyBorder="1"/>
    <xf numFmtId="0" fontId="5" fillId="0" borderId="0" xfId="0" applyNumberFormat="1" applyFont="1" applyFill="1" applyAlignment="1" applyProtection="1">
      <alignment horizontal="left" indent="1"/>
      <protection locked="0"/>
    </xf>
    <xf numFmtId="0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Alignment="1" applyProtection="1"/>
    <xf numFmtId="3" fontId="5" fillId="0" borderId="0" xfId="0" quotePrefix="1" applyNumberFormat="1" applyFont="1" applyFill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Alignment="1" applyProtection="1">
      <alignment horizontal="left" indent="2"/>
      <protection locked="0"/>
    </xf>
    <xf numFmtId="10" fontId="5" fillId="0" borderId="0" xfId="2" applyNumberFormat="1" applyFont="1" applyFill="1" applyAlignment="1" applyProtection="1">
      <alignment horizontal="right"/>
    </xf>
    <xf numFmtId="164" fontId="5" fillId="4" borderId="0" xfId="1" applyNumberFormat="1" applyFont="1" applyFill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9" fontId="7" fillId="4" borderId="0" xfId="2" applyFont="1" applyFill="1" applyAlignment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5" fillId="0" borderId="0" xfId="3" applyFont="1" applyFill="1" applyBorder="1"/>
    <xf numFmtId="164" fontId="5" fillId="0" borderId="0" xfId="4" applyNumberFormat="1" applyFont="1" applyFill="1" applyBorder="1" applyProtection="1"/>
    <xf numFmtId="0" fontId="5" fillId="0" borderId="0" xfId="3" applyFont="1" applyFill="1" applyBorder="1" applyProtection="1"/>
    <xf numFmtId="164" fontId="5" fillId="0" borderId="0" xfId="1" applyNumberFormat="1" applyFont="1" applyFill="1" applyBorder="1" applyProtection="1"/>
    <xf numFmtId="44" fontId="5" fillId="0" borderId="0" xfId="5" applyFont="1" applyFill="1" applyBorder="1" applyProtection="1"/>
    <xf numFmtId="44" fontId="5" fillId="0" borderId="0" xfId="5" applyNumberFormat="1" applyFont="1" applyFill="1" applyBorder="1" applyProtection="1"/>
    <xf numFmtId="169" fontId="5" fillId="0" borderId="0" xfId="5" applyNumberFormat="1" applyFont="1" applyFill="1" applyBorder="1" applyProtection="1"/>
    <xf numFmtId="0" fontId="5" fillId="0" borderId="0" xfId="3" applyFont="1" applyFill="1" applyAlignment="1" applyProtection="1">
      <alignment horizontal="left" indent="2"/>
    </xf>
    <xf numFmtId="0" fontId="6" fillId="0" borderId="0" xfId="3" applyFont="1" applyFill="1" applyAlignment="1" applyProtection="1">
      <alignment horizontal="left" wrapText="1" indent="1"/>
    </xf>
    <xf numFmtId="0" fontId="6" fillId="0" borderId="0" xfId="3" applyFont="1" applyFill="1" applyAlignment="1" applyProtection="1">
      <alignment horizontal="left" indent="1"/>
    </xf>
    <xf numFmtId="0" fontId="2" fillId="0" borderId="0" xfId="0" applyFont="1" applyAlignment="1"/>
    <xf numFmtId="3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41" fontId="3" fillId="0" borderId="0" xfId="0" applyNumberFormat="1" applyFont="1" applyAlignment="1"/>
    <xf numFmtId="41" fontId="2" fillId="0" borderId="0" xfId="0" applyNumberFormat="1" applyFont="1" applyBorder="1" applyAlignment="1"/>
    <xf numFmtId="41" fontId="3" fillId="0" borderId="0" xfId="0" applyNumberFormat="1" applyFont="1" applyBorder="1" applyAlignment="1"/>
    <xf numFmtId="0" fontId="3" fillId="0" borderId="0" xfId="0" applyNumberFormat="1" applyFont="1" applyAlignment="1"/>
    <xf numFmtId="164" fontId="3" fillId="0" borderId="0" xfId="1" quotePrefix="1" applyNumberFormat="1" applyFont="1" applyFill="1" applyAlignment="1"/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164" fontId="3" fillId="0" borderId="0" xfId="0" applyNumberFormat="1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41" fontId="3" fillId="0" borderId="0" xfId="0" applyNumberFormat="1" applyFont="1" applyFill="1" applyBorder="1" applyAlignment="1"/>
    <xf numFmtId="0" fontId="3" fillId="0" borderId="0" xfId="2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41" fontId="2" fillId="0" borderId="0" xfId="0" applyNumberFormat="1" applyFont="1" applyFill="1" applyBorder="1" applyAlignment="1"/>
    <xf numFmtId="164" fontId="7" fillId="0" borderId="3" xfId="0" applyNumberFormat="1" applyFont="1" applyFill="1" applyBorder="1"/>
    <xf numFmtId="43" fontId="7" fillId="0" borderId="3" xfId="0" applyNumberFormat="1" applyFont="1" applyFill="1" applyBorder="1"/>
    <xf numFmtId="0" fontId="13" fillId="0" borderId="0" xfId="8"/>
    <xf numFmtId="43" fontId="7" fillId="4" borderId="0" xfId="1" applyNumberFormat="1" applyFont="1" applyFill="1" applyAlignment="1">
      <alignment horizontal="left"/>
    </xf>
    <xf numFmtId="9" fontId="5" fillId="4" borderId="0" xfId="2" applyFont="1" applyFill="1" applyAlignment="1" applyProtection="1">
      <protection locked="0"/>
    </xf>
    <xf numFmtId="3" fontId="5" fillId="0" borderId="3" xfId="0" applyNumberFormat="1" applyFont="1" applyBorder="1" applyAlignment="1" applyProtection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4" borderId="0" xfId="1" applyNumberFormat="1" applyFont="1" applyFill="1" applyBorder="1"/>
    <xf numFmtId="10" fontId="3" fillId="4" borderId="0" xfId="2" applyNumberFormat="1" applyFont="1" applyFill="1"/>
    <xf numFmtId="10" fontId="3" fillId="4" borderId="0" xfId="2" applyNumberFormat="1" applyFont="1" applyFill="1" applyAlignment="1">
      <alignment horizontal="right"/>
    </xf>
    <xf numFmtId="3" fontId="5" fillId="4" borderId="0" xfId="0" applyNumberFormat="1" applyFont="1" applyFill="1" applyAlignment="1" applyProtection="1">
      <protection locked="0"/>
    </xf>
    <xf numFmtId="3" fontId="5" fillId="4" borderId="1" xfId="0" applyNumberFormat="1" applyFont="1" applyFill="1" applyBorder="1" applyAlignment="1" applyProtection="1">
      <protection locked="0"/>
    </xf>
    <xf numFmtId="10" fontId="5" fillId="4" borderId="0" xfId="2" applyNumberFormat="1" applyFont="1" applyFill="1" applyAlignment="1" applyProtection="1">
      <protection locked="0"/>
    </xf>
    <xf numFmtId="166" fontId="7" fillId="4" borderId="0" xfId="2" applyNumberFormat="1" applyFont="1" applyFill="1"/>
    <xf numFmtId="10" fontId="7" fillId="4" borderId="0" xfId="2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167" fontId="7" fillId="4" borderId="0" xfId="1" applyNumberFormat="1" applyFont="1" applyFill="1" applyAlignment="1">
      <alignment horizontal="left"/>
    </xf>
    <xf numFmtId="167" fontId="7" fillId="0" borderId="0" xfId="1" applyNumberFormat="1" applyFont="1" applyFill="1" applyBorder="1"/>
    <xf numFmtId="0" fontId="14" fillId="0" borderId="0" xfId="3" applyFont="1" applyFill="1" applyBorder="1" applyAlignment="1" applyProtection="1">
      <alignment horizontal="centerContinuous"/>
    </xf>
    <xf numFmtId="0" fontId="6" fillId="0" borderId="1" xfId="3" applyFont="1" applyFill="1" applyBorder="1" applyAlignment="1" applyProtection="1">
      <alignment horizontal="centerContinuous"/>
    </xf>
    <xf numFmtId="0" fontId="5" fillId="0" borderId="1" xfId="3" applyFont="1" applyFill="1" applyBorder="1" applyAlignment="1" applyProtection="1">
      <alignment horizontal="centerContinuous"/>
    </xf>
    <xf numFmtId="44" fontId="7" fillId="0" borderId="0" xfId="5" applyFont="1" applyFill="1"/>
    <xf numFmtId="0" fontId="8" fillId="0" borderId="0" xfId="0" applyFont="1" applyAlignment="1">
      <alignment horizontal="left" indent="2"/>
    </xf>
    <xf numFmtId="10" fontId="7" fillId="0" borderId="0" xfId="2" applyNumberFormat="1" applyFont="1" applyFill="1"/>
    <xf numFmtId="10" fontId="7" fillId="0" borderId="3" xfId="2" applyNumberFormat="1" applyFont="1" applyFill="1" applyBorder="1"/>
    <xf numFmtId="164" fontId="7" fillId="0" borderId="0" xfId="1" applyNumberFormat="1" applyFont="1" applyFill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0" fontId="7" fillId="0" borderId="0" xfId="2" applyNumberFormat="1" applyFont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10" fontId="3" fillId="4" borderId="0" xfId="2" applyNumberFormat="1" applyFont="1" applyFill="1" applyAlignment="1">
      <alignment horizontal="center"/>
    </xf>
    <xf numFmtId="10" fontId="3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0" fontId="3" fillId="0" borderId="0" xfId="2" applyNumberFormat="1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Border="1" applyAlignment="1">
      <alignment horizontal="center"/>
    </xf>
    <xf numFmtId="9" fontId="3" fillId="4" borderId="0" xfId="2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10" fontId="5" fillId="0" borderId="0" xfId="2" applyNumberFormat="1" applyFont="1" applyFill="1" applyProtection="1"/>
    <xf numFmtId="164" fontId="5" fillId="0" borderId="3" xfId="4" applyNumberFormat="1" applyFont="1" applyFill="1" applyBorder="1" applyProtection="1"/>
    <xf numFmtId="3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8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9">
    <cellStyle name="Comma" xfId="1" builtinId="3"/>
    <cellStyle name="Comma 2" xfId="4"/>
    <cellStyle name="Currency" xfId="5" builtinId="4"/>
    <cellStyle name="Hyperlink" xfId="8" builtinId="8"/>
    <cellStyle name="Normal" xfId="0" builtinId="0"/>
    <cellStyle name="Normal 2" xfId="3"/>
    <cellStyle name="Normal 3" xfId="6"/>
    <cellStyle name="Percent" xfId="2" builtinId="5"/>
    <cellStyle name="Percent 2" xfId="7"/>
  </cellStyles>
  <dxfs count="0"/>
  <tableStyles count="0" defaultTableStyle="TableStyleMedium2" defaultPivotStyle="PivotStyleLight16"/>
  <colors>
    <mruColors>
      <color rgb="FFFFFF99"/>
      <color rgb="FFFFFF66"/>
      <color rgb="FF00FFCC"/>
      <color rgb="FF66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P45"/>
  <sheetViews>
    <sheetView showGridLines="0" zoomScale="70" zoomScaleNormal="70" workbookViewId="0"/>
  </sheetViews>
  <sheetFormatPr defaultColWidth="12.5703125" defaultRowHeight="15"/>
  <cols>
    <col min="1" max="1" width="5.7109375" style="94" customWidth="1"/>
    <col min="2" max="2" width="2.28515625" style="94" customWidth="1"/>
    <col min="3" max="3" width="70.140625" style="94" bestFit="1" customWidth="1"/>
    <col min="4" max="4" width="2.28515625" style="94" customWidth="1"/>
    <col min="5" max="5" width="9.42578125" style="94" bestFit="1" customWidth="1"/>
    <col min="6" max="6" width="2.28515625" style="94" customWidth="1"/>
    <col min="7" max="7" width="14.85546875" style="94" bestFit="1" customWidth="1"/>
    <col min="8" max="8" width="1.7109375" style="94" customWidth="1"/>
    <col min="9" max="9" width="27.140625" style="94" bestFit="1" customWidth="1"/>
    <col min="10" max="10" width="8.7109375" style="94" customWidth="1"/>
    <col min="11" max="249" width="12.5703125" style="94"/>
    <col min="250" max="16384" width="12.5703125" style="95"/>
  </cols>
  <sheetData>
    <row r="1" spans="1:9" s="2" customFormat="1">
      <c r="A1" s="1" t="s">
        <v>460</v>
      </c>
      <c r="B1" s="93"/>
      <c r="C1" s="93"/>
      <c r="D1" s="93"/>
      <c r="E1" s="93"/>
      <c r="F1" s="93"/>
      <c r="G1" s="93"/>
      <c r="H1" s="93"/>
      <c r="I1" s="3"/>
    </row>
    <row r="2" spans="1:9" s="2" customFormat="1">
      <c r="A2" s="1" t="s">
        <v>28</v>
      </c>
      <c r="B2" s="93"/>
      <c r="C2" s="93"/>
      <c r="D2" s="93"/>
      <c r="E2" s="93"/>
      <c r="F2" s="93"/>
      <c r="G2" s="93"/>
      <c r="H2" s="93"/>
      <c r="I2" s="3"/>
    </row>
    <row r="3" spans="1:9" s="2" customFormat="1">
      <c r="A3" s="1" t="s">
        <v>252</v>
      </c>
      <c r="B3" s="93"/>
      <c r="C3" s="93"/>
      <c r="D3" s="93"/>
      <c r="E3" s="93"/>
      <c r="F3" s="93"/>
      <c r="G3" s="93"/>
      <c r="H3" s="93"/>
    </row>
    <row r="4" spans="1:9" ht="15.6" customHeight="1">
      <c r="A4" s="1" t="str">
        <f>'Appendix B - COS'!A4</f>
        <v>Fiscal Year Ending December 31, 2018</v>
      </c>
    </row>
    <row r="5" spans="1:9">
      <c r="A5" s="1" t="str">
        <f>'Appendix B - COS'!A5</f>
        <v>Draft as of July 25, 2019</v>
      </c>
      <c r="G5" s="106"/>
      <c r="H5" s="106"/>
    </row>
    <row r="6" spans="1:9">
      <c r="G6" s="96"/>
      <c r="H6" s="96"/>
    </row>
    <row r="7" spans="1:9">
      <c r="E7" s="223"/>
      <c r="F7" s="223"/>
      <c r="G7" s="224" t="s">
        <v>253</v>
      </c>
      <c r="H7" s="224"/>
      <c r="I7" s="225"/>
    </row>
    <row r="8" spans="1:9">
      <c r="A8" s="97" t="s">
        <v>41</v>
      </c>
    </row>
    <row r="9" spans="1:9" ht="15.75" thickBot="1">
      <c r="A9" s="98" t="s">
        <v>1</v>
      </c>
      <c r="C9" s="99"/>
      <c r="E9" s="98" t="s">
        <v>238</v>
      </c>
      <c r="G9" s="98" t="s">
        <v>391</v>
      </c>
      <c r="H9" s="174"/>
      <c r="I9" s="98" t="s">
        <v>239</v>
      </c>
    </row>
    <row r="10" spans="1:9">
      <c r="C10" s="97" t="s">
        <v>2</v>
      </c>
      <c r="E10" s="97" t="s">
        <v>3</v>
      </c>
      <c r="G10" s="97" t="s">
        <v>4</v>
      </c>
      <c r="H10" s="174"/>
      <c r="I10" s="100" t="s">
        <v>5</v>
      </c>
    </row>
    <row r="11" spans="1:9">
      <c r="C11" s="97"/>
      <c r="E11" s="97"/>
      <c r="G11" s="97"/>
      <c r="H11" s="174"/>
      <c r="I11" s="97"/>
    </row>
    <row r="12" spans="1:9">
      <c r="C12" s="15" t="s">
        <v>388</v>
      </c>
      <c r="E12" s="97"/>
      <c r="G12" s="97"/>
      <c r="H12" s="174"/>
      <c r="I12" s="97"/>
    </row>
    <row r="13" spans="1:9">
      <c r="A13" s="16"/>
      <c r="C13" s="183" t="s">
        <v>240</v>
      </c>
      <c r="E13" s="95"/>
      <c r="G13" s="95"/>
      <c r="H13" s="175"/>
      <c r="I13" s="95"/>
    </row>
    <row r="14" spans="1:9">
      <c r="A14" s="16">
        <f>IF(ISNUMBER(G14),MAX(A$13:A13)+1,"")</f>
        <v>1</v>
      </c>
      <c r="C14" s="182" t="s">
        <v>392</v>
      </c>
      <c r="E14" s="102" t="s">
        <v>241</v>
      </c>
      <c r="G14" s="103">
        <f>'Appendix B - COS'!K94</f>
        <v>33939464.239181481</v>
      </c>
      <c r="H14" s="176"/>
      <c r="I14" s="94" t="s">
        <v>237</v>
      </c>
    </row>
    <row r="15" spans="1:9">
      <c r="A15" s="16">
        <f>IF(ISNUMBER(G15),MAX(A$13:A14)+1,"")</f>
        <v>2</v>
      </c>
      <c r="C15" s="182" t="s">
        <v>445</v>
      </c>
      <c r="E15" s="102"/>
      <c r="G15" s="253">
        <f>'Exh I - Allocators'!L17</f>
        <v>1</v>
      </c>
      <c r="H15" s="176"/>
      <c r="I15" s="94" t="s">
        <v>0</v>
      </c>
    </row>
    <row r="16" spans="1:9">
      <c r="A16" s="16">
        <f>IF(ISNUMBER(G16),MAX(A$13:A15)+1,"")</f>
        <v>3</v>
      </c>
      <c r="C16" s="182" t="s">
        <v>449</v>
      </c>
      <c r="E16" s="102"/>
      <c r="G16" s="254">
        <f>G14*G15</f>
        <v>33939464.239181481</v>
      </c>
      <c r="H16" s="176"/>
      <c r="I16" s="94" t="str">
        <f>"Line "&amp;A14&amp;" * Line "&amp;A15</f>
        <v>Line 1 * Line 2</v>
      </c>
    </row>
    <row r="17" spans="1:250" s="94" customFormat="1">
      <c r="A17" s="16" t="str">
        <f>IF(ISNUMBER(G17),MAX(A$13:A16)+1,"")</f>
        <v/>
      </c>
      <c r="C17" s="97"/>
      <c r="E17" s="97"/>
      <c r="G17" s="97"/>
      <c r="H17" s="174"/>
      <c r="I17" s="97"/>
      <c r="IP17" s="95"/>
    </row>
    <row r="18" spans="1:250" s="94" customFormat="1">
      <c r="A18" s="16" t="str">
        <f>IF(ISNUMBER(G18),MAX(A$13:A17)+1,"")</f>
        <v/>
      </c>
      <c r="C18" s="184" t="s">
        <v>242</v>
      </c>
      <c r="D18" s="94" t="s">
        <v>45</v>
      </c>
      <c r="H18" s="177"/>
      <c r="IP18" s="95"/>
    </row>
    <row r="19" spans="1:250" s="94" customFormat="1">
      <c r="A19" s="16">
        <f>IF(ISNUMBER(G19),MAX(A$13:A18)+1,"")</f>
        <v>4</v>
      </c>
      <c r="C19" s="182" t="s">
        <v>403</v>
      </c>
      <c r="E19" s="102" t="s">
        <v>243</v>
      </c>
      <c r="G19" s="118">
        <f>'Exh VIII - Loads'!V25</f>
        <v>742.49280147046682</v>
      </c>
      <c r="H19" s="178"/>
      <c r="I19" s="94" t="s">
        <v>217</v>
      </c>
      <c r="IP19" s="95"/>
    </row>
    <row r="20" spans="1:250" s="94" customFormat="1" ht="15" customHeight="1">
      <c r="A20" s="16" t="str">
        <f>IF(ISNUMBER(G20),MAX(A$13:A19)+1,"")</f>
        <v/>
      </c>
      <c r="E20" s="102"/>
      <c r="H20" s="177"/>
      <c r="I20" s="104"/>
      <c r="IP20" s="95"/>
    </row>
    <row r="21" spans="1:250" s="94" customFormat="1" ht="15" customHeight="1">
      <c r="A21" s="16" t="str">
        <f>IF(ISNUMBER(G21),MAX(A$13:A20)+1,"")</f>
        <v/>
      </c>
      <c r="C21" s="184" t="s">
        <v>394</v>
      </c>
      <c r="E21" s="102"/>
      <c r="H21" s="177"/>
      <c r="I21" s="104"/>
      <c r="IP21" s="95"/>
    </row>
    <row r="22" spans="1:250" s="94" customFormat="1" ht="15" customHeight="1">
      <c r="A22" s="16">
        <f>IF(ISNUMBER(G22),MAX(A$13:A21)+1,"")</f>
        <v>5</v>
      </c>
      <c r="C22" s="182" t="s">
        <v>244</v>
      </c>
      <c r="E22" s="105" t="s">
        <v>245</v>
      </c>
      <c r="G22" s="121">
        <f>G16/(G19*1000)</f>
        <v>45.710159306549791</v>
      </c>
      <c r="H22" s="179"/>
      <c r="I22" s="94" t="str">
        <f>"Line "&amp;A16&amp;" ÷ (Line "&amp;A19&amp;" *1000)"</f>
        <v>Line 3 ÷ (Line 4 *1000)</v>
      </c>
      <c r="IP22" s="95"/>
    </row>
    <row r="23" spans="1:250" s="94" customFormat="1" ht="15" customHeight="1">
      <c r="A23" s="16">
        <f>IF(ISNUMBER(G23),MAX(A$13:A22)+1,"")</f>
        <v>6</v>
      </c>
      <c r="C23" s="182" t="s">
        <v>246</v>
      </c>
      <c r="D23" s="94" t="s">
        <v>45</v>
      </c>
      <c r="E23" s="102" t="s">
        <v>247</v>
      </c>
      <c r="G23" s="121">
        <f>G22/12</f>
        <v>3.8091799422124826</v>
      </c>
      <c r="H23" s="179"/>
      <c r="I23" s="94" t="str">
        <f>"Line "&amp;A22&amp;" ÷ 12 months"</f>
        <v>Line 5 ÷ 12 months</v>
      </c>
      <c r="IP23" s="95"/>
    </row>
    <row r="24" spans="1:250" s="94" customFormat="1" ht="15" customHeight="1">
      <c r="A24" s="16">
        <f>IF(ISNUMBER(G24),MAX(A$13:A23)+1,"")</f>
        <v>7</v>
      </c>
      <c r="C24" s="182" t="s">
        <v>248</v>
      </c>
      <c r="D24" s="94" t="s">
        <v>45</v>
      </c>
      <c r="E24" s="102" t="s">
        <v>249</v>
      </c>
      <c r="G24" s="121">
        <f>G22/52</f>
        <v>0.87904152512595757</v>
      </c>
      <c r="H24" s="179"/>
      <c r="I24" s="94" t="str">
        <f>"Line "&amp;A22&amp;" ÷ 52 weeks"</f>
        <v>Line 5 ÷ 52 weeks</v>
      </c>
      <c r="IP24" s="95"/>
    </row>
    <row r="25" spans="1:250" s="94" customFormat="1" ht="15" customHeight="1">
      <c r="A25" s="16">
        <f>IF(ISNUMBER(G25),MAX(A$13:A24)+1,"")</f>
        <v>8</v>
      </c>
      <c r="C25" s="182" t="s">
        <v>250</v>
      </c>
      <c r="D25" s="94" t="s">
        <v>45</v>
      </c>
      <c r="E25" s="102" t="s">
        <v>251</v>
      </c>
      <c r="G25" s="123">
        <f>G24/7</f>
        <v>0.12557736073227965</v>
      </c>
      <c r="H25" s="180"/>
      <c r="I25" s="94" t="str">
        <f>"Line "&amp;A22&amp;" ÷ 7 days"</f>
        <v>Line 5 ÷ 7 days</v>
      </c>
      <c r="IP25" s="95"/>
    </row>
    <row r="26" spans="1:250" s="94" customFormat="1" ht="15" customHeight="1">
      <c r="A26" s="16">
        <f>IF(ISNUMBER(G26),MAX(A$13:A25)+1,"")</f>
        <v>9</v>
      </c>
      <c r="C26" s="182" t="s">
        <v>293</v>
      </c>
      <c r="E26" s="102" t="s">
        <v>294</v>
      </c>
      <c r="G26" s="122">
        <f>G22/8760</f>
        <v>5.2180547153595647E-3</v>
      </c>
      <c r="H26" s="181"/>
      <c r="I26" s="94" t="str">
        <f>"Line "&amp;A22&amp;" ÷ 8760 hours"</f>
        <v>Line 5 ÷ 8760 hours</v>
      </c>
      <c r="IP26" s="95"/>
    </row>
    <row r="27" spans="1:250">
      <c r="A27" s="16" t="str">
        <f>IF(ISNUMBER(G27),MAX(A$13:A26)+1,"")</f>
        <v/>
      </c>
      <c r="H27" s="177"/>
    </row>
    <row r="28" spans="1:250">
      <c r="A28" s="16" t="str">
        <f>IF(ISNUMBER(G28),MAX(A$13:A27)+1,"")</f>
        <v/>
      </c>
      <c r="C28" s="15" t="s">
        <v>389</v>
      </c>
      <c r="H28" s="177"/>
    </row>
    <row r="29" spans="1:250">
      <c r="A29" s="16" t="str">
        <f>IF(ISNUMBER(G29),MAX(A$13:A28)+1,"")</f>
        <v/>
      </c>
      <c r="C29" s="183" t="s">
        <v>240</v>
      </c>
      <c r="E29" s="95"/>
      <c r="F29" s="95"/>
      <c r="G29" s="95"/>
      <c r="H29" s="95"/>
      <c r="I29" s="95"/>
    </row>
    <row r="30" spans="1:250">
      <c r="A30" s="16">
        <f>IF(ISNUMBER(G30),MAX(A$13:A29)+1,"")</f>
        <v>10</v>
      </c>
      <c r="C30" s="182" t="s">
        <v>454</v>
      </c>
      <c r="E30" s="102" t="s">
        <v>241</v>
      </c>
      <c r="G30" s="103">
        <f>'Appendix B - COS'!O94</f>
        <v>68567956.455717728</v>
      </c>
      <c r="H30" s="176"/>
      <c r="I30" s="94" t="s">
        <v>237</v>
      </c>
    </row>
    <row r="31" spans="1:250">
      <c r="A31" s="16">
        <f>IF(ISNUMBER(G31),MAX(A$13:A30)+1,"")</f>
        <v>11</v>
      </c>
      <c r="C31" s="182" t="s">
        <v>450</v>
      </c>
      <c r="E31" s="102"/>
      <c r="G31" s="253">
        <f>'Exh I - Allocators'!L22</f>
        <v>0.68016043575483931</v>
      </c>
      <c r="H31" s="176"/>
      <c r="I31" s="94" t="s">
        <v>0</v>
      </c>
    </row>
    <row r="32" spans="1:250">
      <c r="A32" s="16">
        <f>IF(ISNUMBER(G32),MAX(A$13:A31)+1,"")</f>
        <v>12</v>
      </c>
      <c r="C32" s="182" t="s">
        <v>390</v>
      </c>
      <c r="E32" s="102"/>
      <c r="G32" s="254">
        <f>G30*G31</f>
        <v>46637211.141739815</v>
      </c>
      <c r="H32" s="176"/>
      <c r="I32" s="94" t="str">
        <f>"Line "&amp;A30&amp;" * Line "&amp;A31</f>
        <v>Line 10 * Line 11</v>
      </c>
    </row>
    <row r="33" spans="1:11">
      <c r="A33" s="16" t="str">
        <f>IF(ISNUMBER(G33),MAX(A$13:A32)+1,"")</f>
        <v/>
      </c>
      <c r="C33" s="184"/>
      <c r="E33" s="97"/>
      <c r="G33" s="97"/>
      <c r="H33" s="97"/>
      <c r="I33" s="97"/>
    </row>
    <row r="34" spans="1:11">
      <c r="A34" s="16" t="str">
        <f>IF(ISNUMBER(G34),MAX(A$13:A33)+1,"")</f>
        <v/>
      </c>
      <c r="C34" s="184" t="s">
        <v>242</v>
      </c>
      <c r="D34" s="94" t="s">
        <v>45</v>
      </c>
    </row>
    <row r="35" spans="1:11">
      <c r="A35" s="16">
        <f>IF(ISNUMBER(G35),MAX(A$13:A34)+1,"")</f>
        <v>13</v>
      </c>
      <c r="C35" s="182" t="s">
        <v>289</v>
      </c>
      <c r="E35" s="102" t="s">
        <v>243</v>
      </c>
      <c r="G35" s="118">
        <f>'Exh VIII - Loads'!U25</f>
        <v>730.56210194166681</v>
      </c>
      <c r="H35" s="118"/>
      <c r="I35" s="94" t="s">
        <v>217</v>
      </c>
    </row>
    <row r="36" spans="1:11">
      <c r="A36" s="16" t="str">
        <f>IF(ISNUMBER(G36),MAX(A$13:A35)+1,"")</f>
        <v/>
      </c>
      <c r="C36" s="101"/>
      <c r="E36" s="102"/>
      <c r="I36" s="104"/>
    </row>
    <row r="37" spans="1:11">
      <c r="A37" s="16" t="str">
        <f>IF(ISNUMBER(G37),MAX(A$13:A36)+1,"")</f>
        <v/>
      </c>
      <c r="C37" s="184" t="s">
        <v>393</v>
      </c>
      <c r="E37" s="102"/>
      <c r="I37" s="104"/>
    </row>
    <row r="38" spans="1:11">
      <c r="A38" s="16">
        <f>IF(ISNUMBER(G38),MAX(A$13:A37)+1,"")</f>
        <v>14</v>
      </c>
      <c r="C38" s="182" t="s">
        <v>244</v>
      </c>
      <c r="E38" s="105" t="s">
        <v>245</v>
      </c>
      <c r="G38" s="121">
        <f>G32/(G35*1000)</f>
        <v>63.837435609907473</v>
      </c>
      <c r="H38" s="121"/>
      <c r="I38" s="94" t="str">
        <f>"Line "&amp;A32&amp;" ÷ (Line "&amp;A35&amp;" *1000)"</f>
        <v>Line 12 ÷ (Line 13 *1000)</v>
      </c>
      <c r="K38" s="95"/>
    </row>
    <row r="39" spans="1:11">
      <c r="A39" s="16">
        <f>IF(ISNUMBER(G39),MAX(A$13:A38)+1,"")</f>
        <v>15</v>
      </c>
      <c r="C39" s="182" t="s">
        <v>246</v>
      </c>
      <c r="D39" s="94" t="s">
        <v>45</v>
      </c>
      <c r="E39" s="102" t="s">
        <v>247</v>
      </c>
      <c r="G39" s="121">
        <f>G38/12</f>
        <v>5.3197863008256228</v>
      </c>
      <c r="H39" s="121"/>
      <c r="I39" s="94" t="str">
        <f>"Line "&amp;A38&amp;" ÷ 12 months"</f>
        <v>Line 14 ÷ 12 months</v>
      </c>
      <c r="K39" s="95"/>
    </row>
    <row r="40" spans="1:11">
      <c r="A40" s="16">
        <f>IF(ISNUMBER(G40),MAX(A$13:A39)+1,"")</f>
        <v>16</v>
      </c>
      <c r="C40" s="182" t="s">
        <v>248</v>
      </c>
      <c r="D40" s="94" t="s">
        <v>45</v>
      </c>
      <c r="E40" s="102" t="s">
        <v>249</v>
      </c>
      <c r="G40" s="121">
        <f>G38/52</f>
        <v>1.2276429924982206</v>
      </c>
      <c r="H40" s="121"/>
      <c r="I40" s="94" t="str">
        <f>"Line "&amp;A38&amp;" ÷ 52 weeks"</f>
        <v>Line 14 ÷ 52 weeks</v>
      </c>
    </row>
    <row r="41" spans="1:11">
      <c r="A41" s="16">
        <f>IF(ISNUMBER(G41),MAX(A$13:A40)+1,"")</f>
        <v>17</v>
      </c>
      <c r="C41" s="182" t="s">
        <v>250</v>
      </c>
      <c r="D41" s="94" t="s">
        <v>45</v>
      </c>
      <c r="E41" s="102" t="s">
        <v>251</v>
      </c>
      <c r="G41" s="123">
        <f>G40/7</f>
        <v>0.17537757035688867</v>
      </c>
      <c r="H41" s="123"/>
      <c r="I41" s="94" t="str">
        <f>"Line "&amp;A38&amp;" ÷ 7 days"</f>
        <v>Line 14 ÷ 7 days</v>
      </c>
    </row>
    <row r="42" spans="1:11">
      <c r="A42" s="16">
        <f>IF(ISNUMBER(G42),MAX(A$13:A41)+1,"")</f>
        <v>18</v>
      </c>
      <c r="C42" s="182" t="s">
        <v>293</v>
      </c>
      <c r="E42" s="102" t="s">
        <v>294</v>
      </c>
      <c r="G42" s="122">
        <f>G38/8760</f>
        <v>7.2873784942816752E-3</v>
      </c>
      <c r="H42" s="122"/>
      <c r="I42" s="94" t="str">
        <f>"Line "&amp;A38&amp;" ÷ 8760 hours"</f>
        <v>Line 14 ÷ 8760 hours</v>
      </c>
    </row>
    <row r="44" spans="1:11">
      <c r="A44" s="9" t="s">
        <v>102</v>
      </c>
    </row>
    <row r="45" spans="1:11">
      <c r="A45" s="9" t="s">
        <v>103</v>
      </c>
      <c r="C45" s="94" t="s">
        <v>416</v>
      </c>
    </row>
  </sheetData>
  <pageMargins left="0.7" right="0.7" top="0.75" bottom="0.75" header="0.3" footer="0.3"/>
  <pageSetup scale="67" orientation="portrait" horizontalDpi="1200" verticalDpi="1200" r:id="rId1"/>
  <headerFooter>
    <oddHeader>&amp;R
REVISED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67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11.7109375" style="46" customWidth="1"/>
    <col min="2" max="2" width="1.7109375" style="46" customWidth="1"/>
    <col min="3" max="3" width="13.85546875" style="46" customWidth="1"/>
    <col min="4" max="4" width="1.7109375" style="46" customWidth="1"/>
    <col min="5" max="5" width="15.85546875" style="46" bestFit="1" customWidth="1"/>
    <col min="6" max="6" width="17.7109375" style="46" bestFit="1" customWidth="1"/>
    <col min="7" max="7" width="6.5703125" style="110" customWidth="1"/>
    <col min="8" max="8" width="9.7109375" style="46" bestFit="1" customWidth="1"/>
    <col min="9" max="9" width="9.42578125" style="46" bestFit="1" customWidth="1"/>
    <col min="10" max="10" width="12.42578125" style="46" bestFit="1" customWidth="1"/>
    <col min="11" max="11" width="8.42578125" style="46" bestFit="1" customWidth="1"/>
    <col min="12" max="12" width="14.5703125" style="46" bestFit="1" customWidth="1"/>
    <col min="13" max="13" width="4.85546875" style="110" customWidth="1"/>
    <col min="14" max="14" width="16.85546875" style="46" bestFit="1" customWidth="1"/>
    <col min="15" max="15" width="20" style="46" bestFit="1" customWidth="1"/>
    <col min="16" max="16" width="19.5703125" style="46" bestFit="1" customWidth="1"/>
    <col min="17" max="17" width="4.7109375" style="46" customWidth="1"/>
    <col min="18" max="18" width="18.28515625" style="46" bestFit="1" customWidth="1"/>
    <col min="19" max="19" width="15.42578125" style="46" bestFit="1" customWidth="1"/>
    <col min="20" max="20" width="4" style="46" customWidth="1"/>
    <col min="21" max="21" width="12.7109375" style="46" bestFit="1" customWidth="1"/>
    <col min="22" max="22" width="16" style="46" bestFit="1" customWidth="1"/>
    <col min="23" max="23" width="9.140625" style="46"/>
    <col min="24" max="24" width="23.28515625" style="46" bestFit="1" customWidth="1"/>
    <col min="25" max="16384" width="9.140625" style="46"/>
  </cols>
  <sheetData>
    <row r="1" spans="1:22">
      <c r="A1" s="1" t="s">
        <v>217</v>
      </c>
      <c r="B1" s="1"/>
    </row>
    <row r="2" spans="1:22">
      <c r="A2" s="1" t="str">
        <f>'Appendix B - COS'!$A$2</f>
        <v>Grant County Public Utility District</v>
      </c>
      <c r="B2" s="1"/>
    </row>
    <row r="3" spans="1:22">
      <c r="A3" s="1" t="s">
        <v>186</v>
      </c>
      <c r="B3" s="1"/>
    </row>
    <row r="4" spans="1:22">
      <c r="A4" s="1" t="str">
        <f>'Appendix B - COS'!$A$4</f>
        <v>Fiscal Year Ending December 31, 2018</v>
      </c>
      <c r="B4" s="1"/>
    </row>
    <row r="5" spans="1:22">
      <c r="A5" s="1" t="str">
        <f>'Appendix B - COS'!$A$5</f>
        <v>Draft as of July 25, 2019</v>
      </c>
      <c r="B5" s="1"/>
    </row>
    <row r="6" spans="1:22">
      <c r="A6" s="1"/>
      <c r="B6" s="1"/>
    </row>
    <row r="7" spans="1:22">
      <c r="A7" s="4"/>
      <c r="B7" s="4"/>
      <c r="C7" s="48"/>
      <c r="D7" s="48"/>
      <c r="E7" s="48"/>
      <c r="F7" s="51"/>
      <c r="G7" s="115"/>
      <c r="H7" s="86"/>
      <c r="I7" s="86"/>
      <c r="J7" s="86"/>
      <c r="K7" s="86"/>
      <c r="L7" s="49"/>
      <c r="M7" s="112"/>
    </row>
    <row r="8" spans="1:22" ht="42.6" customHeight="1">
      <c r="A8" s="9"/>
      <c r="B8" s="9"/>
      <c r="C8" s="50"/>
      <c r="D8" s="50"/>
      <c r="E8" s="87" t="s">
        <v>211</v>
      </c>
      <c r="F8" s="88"/>
      <c r="G8" s="115"/>
      <c r="H8" s="87" t="s">
        <v>451</v>
      </c>
      <c r="I8" s="109"/>
      <c r="J8" s="109"/>
      <c r="K8" s="109"/>
      <c r="L8" s="109"/>
      <c r="N8" s="266" t="s">
        <v>203</v>
      </c>
      <c r="O8" s="266"/>
      <c r="P8" s="266"/>
      <c r="R8" s="220" t="s">
        <v>375</v>
      </c>
      <c r="S8" s="50" t="s">
        <v>124</v>
      </c>
      <c r="T8" s="57"/>
      <c r="U8" s="265" t="s">
        <v>285</v>
      </c>
      <c r="V8" s="265"/>
    </row>
    <row r="9" spans="1:22" ht="44.25" thickBot="1">
      <c r="A9" s="85" t="s">
        <v>201</v>
      </c>
      <c r="B9" s="12"/>
      <c r="C9" s="52" t="s">
        <v>187</v>
      </c>
      <c r="D9" s="50"/>
      <c r="E9" s="85" t="s">
        <v>200</v>
      </c>
      <c r="F9" s="85" t="s">
        <v>202</v>
      </c>
      <c r="G9" s="116"/>
      <c r="H9" s="85" t="s">
        <v>204</v>
      </c>
      <c r="I9" s="85" t="s">
        <v>205</v>
      </c>
      <c r="J9" s="85" t="s">
        <v>206</v>
      </c>
      <c r="K9" s="85" t="s">
        <v>207</v>
      </c>
      <c r="L9" s="85" t="s">
        <v>208</v>
      </c>
      <c r="M9" s="114"/>
      <c r="N9" s="85" t="s">
        <v>209</v>
      </c>
      <c r="O9" s="85" t="s">
        <v>210</v>
      </c>
      <c r="P9" s="85" t="s">
        <v>284</v>
      </c>
      <c r="R9" s="85" t="s">
        <v>301</v>
      </c>
      <c r="S9" s="85" t="s">
        <v>281</v>
      </c>
      <c r="U9" s="85" t="s">
        <v>289</v>
      </c>
      <c r="V9" s="85" t="s">
        <v>403</v>
      </c>
    </row>
    <row r="10" spans="1:22">
      <c r="A10" s="4"/>
      <c r="B10" s="4"/>
      <c r="C10" s="7" t="s">
        <v>2</v>
      </c>
      <c r="E10" s="7" t="s">
        <v>4</v>
      </c>
      <c r="F10" s="7" t="s">
        <v>5</v>
      </c>
      <c r="H10" s="7" t="s">
        <v>6</v>
      </c>
      <c r="I10" s="7" t="s">
        <v>7</v>
      </c>
      <c r="J10" s="7" t="s">
        <v>106</v>
      </c>
      <c r="K10" s="7" t="s">
        <v>107</v>
      </c>
      <c r="L10" s="7" t="s">
        <v>181</v>
      </c>
      <c r="N10" s="7" t="s">
        <v>212</v>
      </c>
      <c r="O10" s="7" t="s">
        <v>213</v>
      </c>
      <c r="P10" s="7" t="s">
        <v>214</v>
      </c>
      <c r="R10" s="7" t="s">
        <v>215</v>
      </c>
      <c r="S10" s="113" t="s">
        <v>282</v>
      </c>
      <c r="U10" s="113" t="s">
        <v>283</v>
      </c>
      <c r="V10" s="50" t="s">
        <v>286</v>
      </c>
    </row>
    <row r="11" spans="1:22">
      <c r="A11" s="4"/>
      <c r="B11" s="4"/>
      <c r="C11" s="7"/>
      <c r="E11" s="7"/>
      <c r="F11" s="7"/>
      <c r="H11" s="7"/>
      <c r="I11" s="7"/>
      <c r="J11" s="7"/>
      <c r="K11" s="7"/>
      <c r="L11" s="7"/>
      <c r="N11" s="7"/>
      <c r="O11" s="7"/>
      <c r="P11" s="111" t="s">
        <v>287</v>
      </c>
      <c r="R11" s="7"/>
      <c r="S11" s="111"/>
      <c r="U11" s="57" t="s">
        <v>288</v>
      </c>
      <c r="V11" s="111" t="s">
        <v>415</v>
      </c>
    </row>
    <row r="12" spans="1:22">
      <c r="H12" s="57"/>
      <c r="I12" s="57"/>
      <c r="J12" s="57"/>
      <c r="K12" s="83"/>
    </row>
    <row r="13" spans="1:22">
      <c r="A13" s="16">
        <f>IF(ISNUMBER(E13),MAX(A$12:A12)+1,"" )</f>
        <v>1</v>
      </c>
      <c r="C13" s="46" t="s">
        <v>188</v>
      </c>
      <c r="E13" s="221">
        <v>661.2</v>
      </c>
      <c r="F13" s="207">
        <v>3.08</v>
      </c>
      <c r="G13" s="117"/>
      <c r="H13" s="221">
        <v>1.74</v>
      </c>
      <c r="I13" s="221">
        <v>1.1200000000000001</v>
      </c>
      <c r="J13" s="221">
        <v>2.37</v>
      </c>
      <c r="K13" s="221">
        <v>1.0544008951999999</v>
      </c>
      <c r="L13" s="221">
        <v>1.1200000000000001</v>
      </c>
      <c r="M13" s="117"/>
      <c r="N13" s="221">
        <v>672.16671360000009</v>
      </c>
      <c r="O13" s="221">
        <v>3.08</v>
      </c>
      <c r="P13" s="117">
        <f>SUM(H13:N13)</f>
        <v>679.57111449520005</v>
      </c>
      <c r="Q13" s="117"/>
      <c r="R13" s="221">
        <v>0.1592048952</v>
      </c>
      <c r="S13" s="221">
        <v>0</v>
      </c>
      <c r="T13" s="117"/>
      <c r="U13" s="117">
        <f>P13-R13</f>
        <v>679.41190960000006</v>
      </c>
      <c r="V13" s="117">
        <f>P13+S13</f>
        <v>679.57111449520005</v>
      </c>
    </row>
    <row r="14" spans="1:22">
      <c r="A14" s="16">
        <f>IF(ISNUMBER(E14),MAX(A$12:A13)+1,"" )</f>
        <v>2</v>
      </c>
      <c r="C14" s="46" t="s">
        <v>189</v>
      </c>
      <c r="E14" s="221">
        <v>729.98000000000025</v>
      </c>
      <c r="F14" s="207">
        <v>21.07</v>
      </c>
      <c r="G14" s="117"/>
      <c r="H14" s="221">
        <v>2.92</v>
      </c>
      <c r="I14" s="221">
        <v>1.03</v>
      </c>
      <c r="J14" s="221">
        <v>2.371</v>
      </c>
      <c r="K14" s="221">
        <v>1.0736220176000002</v>
      </c>
      <c r="L14" s="221">
        <v>0.28999999999999998</v>
      </c>
      <c r="M14" s="117"/>
      <c r="N14" s="221">
        <v>746.11287360000028</v>
      </c>
      <c r="O14" s="221">
        <v>21.07</v>
      </c>
      <c r="P14" s="117">
        <f t="shared" ref="P14:P24" si="0">SUM(H14:N14)</f>
        <v>753.79749561760025</v>
      </c>
      <c r="Q14" s="117"/>
      <c r="R14" s="221">
        <v>0.16630451760000001</v>
      </c>
      <c r="S14" s="221">
        <v>0</v>
      </c>
      <c r="T14" s="117"/>
      <c r="U14" s="117">
        <f t="shared" ref="U14:U24" si="1">P14-R14</f>
        <v>753.63119110000025</v>
      </c>
      <c r="V14" s="117">
        <f t="shared" ref="V14:V24" si="2">P14+S14</f>
        <v>753.79749561760025</v>
      </c>
    </row>
    <row r="15" spans="1:22">
      <c r="A15" s="16">
        <f>IF(ISNUMBER(E15),MAX(A$12:A14)+1,"" )</f>
        <v>3</v>
      </c>
      <c r="C15" s="46" t="s">
        <v>190</v>
      </c>
      <c r="E15" s="221">
        <v>651.76</v>
      </c>
      <c r="F15" s="207">
        <v>7.07</v>
      </c>
      <c r="G15" s="117"/>
      <c r="H15" s="221">
        <v>3.72</v>
      </c>
      <c r="I15" s="221">
        <v>1.77</v>
      </c>
      <c r="J15" s="221">
        <v>2.52</v>
      </c>
      <c r="K15" s="221">
        <v>18.804750686399998</v>
      </c>
      <c r="L15" s="221">
        <v>0.44</v>
      </c>
      <c r="M15" s="117"/>
      <c r="N15" s="221">
        <v>665.02773360000003</v>
      </c>
      <c r="O15" s="221">
        <v>7.07</v>
      </c>
      <c r="P15" s="117">
        <f t="shared" si="0"/>
        <v>692.28248428640006</v>
      </c>
      <c r="Q15" s="117"/>
      <c r="R15" s="221">
        <v>12.1860771864</v>
      </c>
      <c r="S15" s="221">
        <v>0</v>
      </c>
      <c r="T15" s="117"/>
      <c r="U15" s="117">
        <f t="shared" si="1"/>
        <v>680.09640710000008</v>
      </c>
      <c r="V15" s="117">
        <f t="shared" si="2"/>
        <v>692.28248428640006</v>
      </c>
    </row>
    <row r="16" spans="1:22">
      <c r="A16" s="16">
        <f>IF(ISNUMBER(E16),MAX(A$12:A15)+1,"" )</f>
        <v>4</v>
      </c>
      <c r="C16" s="46" t="s">
        <v>191</v>
      </c>
      <c r="E16" s="221">
        <v>632.20399999999995</v>
      </c>
      <c r="F16" s="207">
        <v>2.0699999999999998</v>
      </c>
      <c r="G16" s="117"/>
      <c r="H16" s="221">
        <v>6.81</v>
      </c>
      <c r="I16" s="221">
        <v>1.38</v>
      </c>
      <c r="J16" s="221">
        <v>2.23</v>
      </c>
      <c r="K16" s="221">
        <v>21.6616143888</v>
      </c>
      <c r="L16" s="221">
        <v>0.39</v>
      </c>
      <c r="M16" s="117"/>
      <c r="N16" s="221">
        <v>627.39572399999997</v>
      </c>
      <c r="O16" s="221">
        <v>2.0699999999999998</v>
      </c>
      <c r="P16" s="117">
        <f t="shared" si="0"/>
        <v>659.86733838880002</v>
      </c>
      <c r="Q16" s="117"/>
      <c r="R16" s="221">
        <v>14.683783888800001</v>
      </c>
      <c r="S16" s="221">
        <v>0</v>
      </c>
      <c r="T16" s="117"/>
      <c r="U16" s="117">
        <f t="shared" si="1"/>
        <v>645.18355450000001</v>
      </c>
      <c r="V16" s="117">
        <f t="shared" si="2"/>
        <v>659.86733838880002</v>
      </c>
    </row>
    <row r="17" spans="1:22">
      <c r="A17" s="16">
        <f>IF(ISNUMBER(E17),MAX(A$12:A16)+1,"" )</f>
        <v>5</v>
      </c>
      <c r="C17" s="46" t="s">
        <v>192</v>
      </c>
      <c r="E17" s="221">
        <v>728.81200000000013</v>
      </c>
      <c r="F17" s="207">
        <v>16.16</v>
      </c>
      <c r="G17" s="117"/>
      <c r="H17" s="221">
        <v>14.57</v>
      </c>
      <c r="I17" s="221">
        <v>0.96</v>
      </c>
      <c r="J17" s="221">
        <v>2.96</v>
      </c>
      <c r="K17" s="221">
        <v>26.843220352800003</v>
      </c>
      <c r="L17" s="221">
        <v>2.35</v>
      </c>
      <c r="M17" s="117"/>
      <c r="N17" s="221">
        <v>711.97600520000015</v>
      </c>
      <c r="O17" s="221">
        <v>16.16</v>
      </c>
      <c r="P17" s="117">
        <f t="shared" si="0"/>
        <v>759.65922555280019</v>
      </c>
      <c r="Q17" s="117"/>
      <c r="R17" s="221">
        <v>18.503700352800003</v>
      </c>
      <c r="S17" s="221">
        <v>0</v>
      </c>
      <c r="T17" s="117"/>
      <c r="U17" s="117">
        <f t="shared" si="1"/>
        <v>741.15552520000017</v>
      </c>
      <c r="V17" s="117">
        <f>P17+S17</f>
        <v>759.65922555280019</v>
      </c>
    </row>
    <row r="18" spans="1:22">
      <c r="A18" s="16">
        <f>IF(ISNUMBER(E18),MAX(A$12:A17)+1,"" )</f>
        <v>6</v>
      </c>
      <c r="C18" s="46" t="s">
        <v>193</v>
      </c>
      <c r="E18" s="221">
        <v>772.50199999999995</v>
      </c>
      <c r="F18" s="207">
        <v>21.16</v>
      </c>
      <c r="G18" s="117"/>
      <c r="H18" s="221">
        <v>14.89</v>
      </c>
      <c r="I18" s="221">
        <v>1.1200000000000001</v>
      </c>
      <c r="J18" s="221">
        <v>4.07</v>
      </c>
      <c r="K18" s="221">
        <v>30.918152904799999</v>
      </c>
      <c r="L18" s="221">
        <v>1.87</v>
      </c>
      <c r="M18" s="117"/>
      <c r="N18" s="221">
        <v>747.41625439999996</v>
      </c>
      <c r="O18" s="221">
        <v>21.16</v>
      </c>
      <c r="P18" s="117">
        <f t="shared" si="0"/>
        <v>800.28440730479997</v>
      </c>
      <c r="Q18" s="117"/>
      <c r="R18" s="221">
        <v>21.568229404800004</v>
      </c>
      <c r="S18" s="221">
        <v>0</v>
      </c>
      <c r="T18" s="117"/>
      <c r="U18" s="117">
        <f t="shared" si="1"/>
        <v>778.71617789999993</v>
      </c>
      <c r="V18" s="117">
        <f t="shared" si="2"/>
        <v>800.28440730479997</v>
      </c>
    </row>
    <row r="19" spans="1:22">
      <c r="A19" s="16">
        <f>IF(ISNUMBER(E19),MAX(A$12:A18)+1,"" )</f>
        <v>7</v>
      </c>
      <c r="C19" s="46" t="s">
        <v>194</v>
      </c>
      <c r="E19" s="221">
        <v>847.63300000000004</v>
      </c>
      <c r="F19" s="207">
        <v>26.16</v>
      </c>
      <c r="G19" s="117"/>
      <c r="H19" s="221">
        <v>14.43</v>
      </c>
      <c r="I19" s="221">
        <v>1.31</v>
      </c>
      <c r="J19" s="221">
        <v>4.72</v>
      </c>
      <c r="K19" s="221">
        <v>33.6654725896</v>
      </c>
      <c r="L19" s="221">
        <v>1.23</v>
      </c>
      <c r="M19" s="117"/>
      <c r="N19" s="221">
        <v>819.35337960000004</v>
      </c>
      <c r="O19" s="221">
        <v>26.16</v>
      </c>
      <c r="P19" s="117">
        <f t="shared" si="0"/>
        <v>874.70885218960007</v>
      </c>
      <c r="Q19" s="117"/>
      <c r="R19" s="221">
        <v>23.493017589600001</v>
      </c>
      <c r="S19" s="221">
        <v>0</v>
      </c>
      <c r="T19" s="117"/>
      <c r="U19" s="117">
        <f t="shared" si="1"/>
        <v>851.21583460000011</v>
      </c>
      <c r="V19" s="117">
        <f t="shared" si="2"/>
        <v>874.70885218960007</v>
      </c>
    </row>
    <row r="20" spans="1:22">
      <c r="A20" s="16">
        <f>IF(ISNUMBER(E20),MAX(A$12:A19)+1,"" )</f>
        <v>8</v>
      </c>
      <c r="C20" s="46" t="s">
        <v>195</v>
      </c>
      <c r="E20" s="221">
        <v>831.30199999999991</v>
      </c>
      <c r="F20" s="207">
        <v>9.16</v>
      </c>
      <c r="G20" s="117"/>
      <c r="H20" s="221">
        <v>12.34</v>
      </c>
      <c r="I20" s="221">
        <v>1.23</v>
      </c>
      <c r="J20" s="221">
        <v>5.23</v>
      </c>
      <c r="K20" s="221">
        <v>32.766246353599996</v>
      </c>
      <c r="L20" s="221">
        <v>2.63</v>
      </c>
      <c r="M20" s="117"/>
      <c r="N20" s="221">
        <v>807.5234463999999</v>
      </c>
      <c r="O20" s="221">
        <v>9.16</v>
      </c>
      <c r="P20" s="117">
        <f t="shared" si="0"/>
        <v>861.71969275359993</v>
      </c>
      <c r="Q20" s="117"/>
      <c r="R20" s="221">
        <v>22.633019853600004</v>
      </c>
      <c r="S20" s="221">
        <v>0</v>
      </c>
      <c r="T20" s="117"/>
      <c r="U20" s="117">
        <f t="shared" si="1"/>
        <v>839.08667289999994</v>
      </c>
      <c r="V20" s="117">
        <f t="shared" si="2"/>
        <v>861.71969275359993</v>
      </c>
    </row>
    <row r="21" spans="1:22">
      <c r="A21" s="16">
        <f>IF(ISNUMBER(E21),MAX(A$12:A20)+1,"" )</f>
        <v>9</v>
      </c>
      <c r="C21" s="46" t="s">
        <v>196</v>
      </c>
      <c r="E21" s="221">
        <v>701.54700000000003</v>
      </c>
      <c r="F21" s="207">
        <v>7.17</v>
      </c>
      <c r="G21" s="117"/>
      <c r="H21" s="221">
        <v>12.92</v>
      </c>
      <c r="I21" s="221">
        <v>0.92</v>
      </c>
      <c r="J21" s="221">
        <v>5.05</v>
      </c>
      <c r="K21" s="221">
        <v>24.671565652799995</v>
      </c>
      <c r="L21" s="221">
        <v>1.68</v>
      </c>
      <c r="M21" s="117"/>
      <c r="N21" s="221">
        <v>681.73592800000017</v>
      </c>
      <c r="O21" s="221">
        <v>6.17</v>
      </c>
      <c r="P21" s="117">
        <f t="shared" si="0"/>
        <v>726.97749365280015</v>
      </c>
      <c r="Q21" s="117"/>
      <c r="R21" s="221">
        <v>17.284821652799998</v>
      </c>
      <c r="S21" s="221">
        <v>0</v>
      </c>
      <c r="T21" s="117"/>
      <c r="U21" s="117">
        <f t="shared" si="1"/>
        <v>709.69267200000013</v>
      </c>
      <c r="V21" s="117">
        <f t="shared" si="2"/>
        <v>726.97749365280015</v>
      </c>
    </row>
    <row r="22" spans="1:22">
      <c r="A22" s="16">
        <f>IF(ISNUMBER(E22),MAX(A$12:A21)+1,"" )</f>
        <v>10</v>
      </c>
      <c r="C22" s="46" t="s">
        <v>197</v>
      </c>
      <c r="E22" s="221">
        <v>646.52900000000011</v>
      </c>
      <c r="F22" s="207">
        <v>19.079999999999998</v>
      </c>
      <c r="G22" s="117"/>
      <c r="H22" s="221">
        <v>10.45</v>
      </c>
      <c r="I22" s="221">
        <v>0.74</v>
      </c>
      <c r="J22" s="221">
        <v>3.94</v>
      </c>
      <c r="K22" s="221">
        <v>18.145644807999997</v>
      </c>
      <c r="L22" s="221">
        <v>1.19</v>
      </c>
      <c r="M22" s="117"/>
      <c r="N22" s="221">
        <v>636.6546512000001</v>
      </c>
      <c r="O22" s="221">
        <v>19.079999999999998</v>
      </c>
      <c r="P22" s="117">
        <f t="shared" si="0"/>
        <v>671.12029600800008</v>
      </c>
      <c r="Q22" s="117"/>
      <c r="R22" s="221">
        <v>12.142418807999999</v>
      </c>
      <c r="S22" s="221">
        <v>0</v>
      </c>
      <c r="T22" s="117"/>
      <c r="U22" s="117">
        <f t="shared" si="1"/>
        <v>658.97787720000008</v>
      </c>
      <c r="V22" s="117">
        <f>P22+S22</f>
        <v>671.12029600800008</v>
      </c>
    </row>
    <row r="23" spans="1:22">
      <c r="A23" s="16">
        <f>IF(ISNUMBER(E23),MAX(A$12:A22)+1,"" )</f>
        <v>11</v>
      </c>
      <c r="C23" s="46" t="s">
        <v>198</v>
      </c>
      <c r="E23" s="221">
        <v>682.3</v>
      </c>
      <c r="F23" s="207">
        <v>19.079999999999998</v>
      </c>
      <c r="G23" s="117"/>
      <c r="H23" s="221">
        <v>2.38</v>
      </c>
      <c r="I23" s="221">
        <v>0.76</v>
      </c>
      <c r="J23" s="221">
        <v>3.27</v>
      </c>
      <c r="K23" s="221">
        <v>1.1001378008</v>
      </c>
      <c r="L23" s="221">
        <v>0.1</v>
      </c>
      <c r="M23" s="117"/>
      <c r="N23" s="221">
        <v>693.99643359999993</v>
      </c>
      <c r="O23" s="221">
        <v>19.079999999999998</v>
      </c>
      <c r="P23" s="117">
        <f t="shared" si="0"/>
        <v>701.60657140079991</v>
      </c>
      <c r="Q23" s="117"/>
      <c r="R23" s="221">
        <v>0.17542930080000002</v>
      </c>
      <c r="S23" s="221">
        <v>0</v>
      </c>
      <c r="T23" s="117"/>
      <c r="U23" s="117">
        <f t="shared" si="1"/>
        <v>701.43114209999987</v>
      </c>
      <c r="V23" s="117">
        <f t="shared" si="2"/>
        <v>701.60657140079991</v>
      </c>
    </row>
    <row r="24" spans="1:22">
      <c r="A24" s="16">
        <f>IF(ISNUMBER(E24),MAX(A$12:A23)+1,"" )</f>
        <v>12</v>
      </c>
      <c r="C24" s="46" t="s">
        <v>199</v>
      </c>
      <c r="E24" s="221">
        <v>707.44000000000028</v>
      </c>
      <c r="F24" s="207">
        <v>7.08</v>
      </c>
      <c r="G24" s="117"/>
      <c r="H24" s="221">
        <v>2.58</v>
      </c>
      <c r="I24" s="221">
        <v>0.67</v>
      </c>
      <c r="J24" s="221">
        <v>2.13</v>
      </c>
      <c r="K24" s="221">
        <v>0.98922239519999988</v>
      </c>
      <c r="L24" s="221">
        <v>0.9</v>
      </c>
      <c r="M24" s="117"/>
      <c r="N24" s="221">
        <v>721.0494236000003</v>
      </c>
      <c r="O24" s="221">
        <v>7.08</v>
      </c>
      <c r="P24" s="117">
        <f t="shared" si="0"/>
        <v>728.31864599520031</v>
      </c>
      <c r="Q24" s="117"/>
      <c r="R24" s="221">
        <v>0.1723868952</v>
      </c>
      <c r="S24" s="221">
        <v>0</v>
      </c>
      <c r="T24" s="117"/>
      <c r="U24" s="117">
        <f t="shared" si="1"/>
        <v>728.14625910000029</v>
      </c>
      <c r="V24" s="117">
        <f t="shared" si="2"/>
        <v>728.31864599520031</v>
      </c>
    </row>
    <row r="25" spans="1:22">
      <c r="A25" s="16">
        <f>IF(ISNUMBER(E25),MAX(A$12:A24)+1,"" )</f>
        <v>13</v>
      </c>
      <c r="C25" s="108" t="s">
        <v>423</v>
      </c>
      <c r="E25" s="136">
        <f>SUM(E13:E24)/12</f>
        <v>716.10075000000006</v>
      </c>
      <c r="F25" s="222"/>
      <c r="G25" s="117"/>
      <c r="H25" s="136">
        <f>SUM(H13:H24)/12</f>
        <v>8.3125</v>
      </c>
      <c r="I25" s="136">
        <f>SUM(I13:I24)/12</f>
        <v>1.0841666666666667</v>
      </c>
      <c r="J25" s="136">
        <f>SUM(J13:J24)/12</f>
        <v>3.4050833333333337</v>
      </c>
      <c r="K25" s="136">
        <f>SUM(K13:K24)/12</f>
        <v>17.641170903799999</v>
      </c>
      <c r="L25" s="136">
        <f>SUM(L13:L24)/12</f>
        <v>1.1824999999999999</v>
      </c>
      <c r="M25" s="117"/>
      <c r="N25" s="136">
        <f>SUM(N13:N24)/12</f>
        <v>710.86738056666672</v>
      </c>
      <c r="O25" s="117"/>
      <c r="P25" s="136">
        <f>AVERAGE(P13:P24)</f>
        <v>742.49280147046682</v>
      </c>
      <c r="Q25" s="117"/>
      <c r="R25" s="136">
        <f>SUM(R13:R24)/12</f>
        <v>11.9306995288</v>
      </c>
      <c r="S25" s="136">
        <f>SUM(S13:S24)/12</f>
        <v>0</v>
      </c>
      <c r="T25" s="117"/>
      <c r="U25" s="136">
        <f>SUM(U13:U24)/12</f>
        <v>730.56210194166681</v>
      </c>
      <c r="V25" s="136">
        <f>SUM(V13:V24)/12</f>
        <v>742.49280147046682</v>
      </c>
    </row>
    <row r="26" spans="1:22">
      <c r="F26" s="53"/>
      <c r="H26" s="53"/>
      <c r="I26" s="53"/>
      <c r="J26" s="53"/>
      <c r="K26" s="89"/>
    </row>
    <row r="27" spans="1:22">
      <c r="A27" s="9" t="s">
        <v>102</v>
      </c>
      <c r="B27" s="4"/>
      <c r="C27" s="2"/>
      <c r="F27" s="53"/>
      <c r="H27" s="53"/>
      <c r="I27" s="53"/>
      <c r="J27" s="53"/>
      <c r="M27" s="46"/>
    </row>
    <row r="28" spans="1:22">
      <c r="A28" s="9" t="s">
        <v>103</v>
      </c>
      <c r="C28" s="46" t="s">
        <v>300</v>
      </c>
      <c r="F28" s="53"/>
      <c r="H28" s="53"/>
      <c r="I28" s="53"/>
      <c r="J28" s="53"/>
      <c r="K28" s="53"/>
    </row>
    <row r="29" spans="1:22">
      <c r="A29" s="110"/>
      <c r="F29" s="53"/>
      <c r="H29" s="53"/>
      <c r="I29" s="53"/>
      <c r="J29" s="53"/>
      <c r="K29" s="53"/>
    </row>
    <row r="30" spans="1:22">
      <c r="A30" s="9" t="s">
        <v>105</v>
      </c>
      <c r="C30" s="46" t="s">
        <v>424</v>
      </c>
      <c r="E30" s="206"/>
      <c r="F30" s="53"/>
      <c r="H30" s="53"/>
      <c r="I30" s="53"/>
      <c r="J30" s="53"/>
      <c r="K30" s="53"/>
    </row>
    <row r="31" spans="1:22">
      <c r="A31" s="110"/>
      <c r="F31" s="53"/>
      <c r="H31" s="53"/>
      <c r="I31" s="53"/>
      <c r="J31" s="53"/>
      <c r="K31" s="53"/>
    </row>
    <row r="32" spans="1:22">
      <c r="F32" s="53"/>
      <c r="H32" s="53"/>
      <c r="I32" s="53"/>
      <c r="J32" s="53"/>
      <c r="K32" s="53"/>
    </row>
    <row r="33" spans="6:12">
      <c r="F33" s="53"/>
      <c r="H33" s="53"/>
      <c r="I33" s="53"/>
      <c r="J33" s="53"/>
      <c r="K33" s="53"/>
    </row>
    <row r="34" spans="6:12">
      <c r="F34" s="53"/>
      <c r="H34" s="53"/>
      <c r="I34" s="53"/>
      <c r="J34" s="53"/>
      <c r="K34" s="53"/>
    </row>
    <row r="35" spans="6:12">
      <c r="F35" s="53"/>
      <c r="H35" s="53"/>
      <c r="I35" s="53"/>
      <c r="J35" s="53"/>
      <c r="K35" s="53"/>
    </row>
    <row r="36" spans="6:12">
      <c r="F36" s="53"/>
      <c r="H36" s="53"/>
      <c r="I36" s="53"/>
      <c r="J36" s="53"/>
      <c r="K36" s="53"/>
      <c r="L36" s="74"/>
    </row>
    <row r="37" spans="6:12">
      <c r="F37" s="53"/>
      <c r="H37" s="53"/>
      <c r="I37" s="53"/>
      <c r="J37" s="53"/>
      <c r="K37" s="53"/>
    </row>
    <row r="38" spans="6:12">
      <c r="F38" s="53"/>
      <c r="H38" s="53"/>
      <c r="I38" s="53"/>
      <c r="J38" s="53"/>
      <c r="K38" s="53"/>
    </row>
    <row r="39" spans="6:12">
      <c r="F39" s="53"/>
      <c r="H39" s="53"/>
      <c r="I39" s="53"/>
      <c r="J39" s="53"/>
      <c r="K39" s="53"/>
    </row>
    <row r="40" spans="6:12">
      <c r="F40" s="53"/>
      <c r="H40" s="53"/>
      <c r="I40" s="53"/>
      <c r="J40" s="53"/>
      <c r="K40" s="53"/>
    </row>
    <row r="41" spans="6:12">
      <c r="F41" s="53"/>
      <c r="H41" s="53"/>
      <c r="I41" s="53"/>
      <c r="J41" s="53"/>
      <c r="K41" s="53"/>
    </row>
    <row r="42" spans="6:12">
      <c r="F42" s="53"/>
      <c r="H42" s="53"/>
      <c r="I42" s="53"/>
      <c r="J42" s="53"/>
      <c r="K42" s="53"/>
    </row>
    <row r="43" spans="6:12">
      <c r="F43" s="53"/>
      <c r="H43" s="53"/>
      <c r="I43" s="53"/>
      <c r="J43" s="53"/>
      <c r="K43" s="53"/>
    </row>
    <row r="44" spans="6:12">
      <c r="F44" s="53"/>
      <c r="H44" s="53"/>
      <c r="I44" s="53"/>
      <c r="J44" s="53"/>
      <c r="K44" s="53"/>
    </row>
    <row r="45" spans="6:12">
      <c r="F45" s="53"/>
      <c r="H45" s="53"/>
      <c r="I45" s="53"/>
      <c r="J45" s="53"/>
      <c r="K45" s="53"/>
    </row>
    <row r="46" spans="6:12">
      <c r="F46" s="53"/>
      <c r="H46" s="53"/>
      <c r="I46" s="53"/>
      <c r="J46" s="53"/>
      <c r="K46" s="53"/>
    </row>
    <row r="47" spans="6:12">
      <c r="F47" s="53"/>
      <c r="H47" s="53"/>
      <c r="I47" s="53"/>
      <c r="J47" s="53"/>
      <c r="K47" s="53"/>
    </row>
    <row r="48" spans="6:12">
      <c r="F48" s="53"/>
      <c r="H48" s="53"/>
      <c r="I48" s="53"/>
      <c r="J48" s="53"/>
      <c r="K48" s="53"/>
    </row>
    <row r="49" spans="6:11">
      <c r="F49" s="53"/>
      <c r="H49" s="53"/>
      <c r="I49" s="53"/>
      <c r="J49" s="53"/>
      <c r="K49" s="53"/>
    </row>
    <row r="50" spans="6:11">
      <c r="F50" s="53"/>
      <c r="H50" s="53"/>
      <c r="I50" s="53"/>
      <c r="J50" s="53"/>
      <c r="K50" s="53"/>
    </row>
    <row r="51" spans="6:11">
      <c r="F51" s="53"/>
      <c r="H51" s="53"/>
      <c r="I51" s="53"/>
      <c r="J51" s="53"/>
      <c r="K51" s="53"/>
    </row>
    <row r="52" spans="6:11">
      <c r="F52" s="53"/>
      <c r="H52" s="53"/>
      <c r="I52" s="53"/>
      <c r="J52" s="53"/>
      <c r="K52" s="53"/>
    </row>
    <row r="53" spans="6:11">
      <c r="F53" s="53"/>
      <c r="H53" s="53"/>
      <c r="I53" s="53"/>
      <c r="J53" s="53"/>
      <c r="K53" s="53"/>
    </row>
    <row r="54" spans="6:11">
      <c r="F54" s="53"/>
      <c r="H54" s="53"/>
      <c r="I54" s="53"/>
      <c r="J54" s="53"/>
      <c r="K54" s="53"/>
    </row>
    <row r="55" spans="6:11">
      <c r="F55" s="53"/>
      <c r="H55" s="53"/>
      <c r="I55" s="53"/>
      <c r="J55" s="53"/>
      <c r="K55" s="53"/>
    </row>
    <row r="56" spans="6:11">
      <c r="F56" s="53"/>
      <c r="H56" s="53"/>
      <c r="I56" s="53"/>
      <c r="J56" s="53"/>
      <c r="K56" s="53"/>
    </row>
    <row r="57" spans="6:11">
      <c r="F57" s="53"/>
      <c r="H57" s="53"/>
      <c r="I57" s="53"/>
      <c r="J57" s="53"/>
      <c r="K57" s="53"/>
    </row>
    <row r="58" spans="6:11">
      <c r="F58" s="53"/>
      <c r="H58" s="53"/>
      <c r="I58" s="53"/>
      <c r="J58" s="53"/>
      <c r="K58" s="53"/>
    </row>
    <row r="59" spans="6:11">
      <c r="F59" s="53"/>
      <c r="H59" s="53"/>
      <c r="I59" s="53"/>
      <c r="J59" s="53"/>
      <c r="K59" s="53"/>
    </row>
    <row r="60" spans="6:11">
      <c r="F60" s="53"/>
      <c r="H60" s="53"/>
      <c r="I60" s="53"/>
      <c r="J60" s="53"/>
      <c r="K60" s="53"/>
    </row>
    <row r="61" spans="6:11">
      <c r="F61" s="53"/>
      <c r="H61" s="53"/>
      <c r="I61" s="53"/>
      <c r="J61" s="53"/>
      <c r="K61" s="53"/>
    </row>
    <row r="62" spans="6:11">
      <c r="F62" s="53"/>
      <c r="H62" s="53"/>
      <c r="I62" s="53"/>
      <c r="J62" s="53"/>
      <c r="K62" s="53"/>
    </row>
    <row r="63" spans="6:11">
      <c r="F63" s="53"/>
      <c r="H63" s="53"/>
      <c r="I63" s="53"/>
      <c r="J63" s="53"/>
      <c r="K63" s="53"/>
    </row>
    <row r="64" spans="6:11">
      <c r="F64" s="53"/>
      <c r="H64" s="53"/>
      <c r="I64" s="53"/>
      <c r="J64" s="53"/>
      <c r="K64" s="53"/>
    </row>
    <row r="65" spans="6:11">
      <c r="F65" s="53"/>
      <c r="H65" s="53"/>
      <c r="I65" s="53"/>
      <c r="J65" s="53"/>
      <c r="K65" s="53"/>
    </row>
    <row r="66" spans="6:11">
      <c r="F66" s="53"/>
      <c r="H66" s="53"/>
      <c r="I66" s="53"/>
      <c r="J66" s="53"/>
      <c r="K66" s="53"/>
    </row>
    <row r="67" spans="6:11">
      <c r="F67" s="53"/>
      <c r="H67" s="53"/>
      <c r="I67" s="53"/>
      <c r="J67" s="53"/>
      <c r="K67" s="53"/>
    </row>
  </sheetData>
  <mergeCells count="2">
    <mergeCell ref="U8:V8"/>
    <mergeCell ref="N8:P8"/>
  </mergeCells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2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6.28515625" style="4" customWidth="1"/>
    <col min="2" max="2" width="1.7109375" style="4" customWidth="1"/>
    <col min="3" max="3" width="80.7109375" style="2" customWidth="1"/>
    <col min="4" max="4" width="2.7109375" style="2" customWidth="1"/>
    <col min="5" max="5" width="28.42578125" style="2" bestFit="1" customWidth="1"/>
    <col min="6" max="6" width="2.7109375" style="2" customWidth="1"/>
    <col min="7" max="7" width="16.85546875" style="2" bestFit="1" customWidth="1"/>
    <col min="8" max="8" width="12" style="3" customWidth="1"/>
    <col min="9" max="9" width="8.7109375" style="2" customWidth="1"/>
    <col min="10" max="10" width="9.7109375" style="111" bestFit="1" customWidth="1"/>
    <col min="11" max="11" width="16.42578125" style="2" bestFit="1" customWidth="1"/>
    <col min="12" max="14" width="12" style="2" customWidth="1"/>
    <col min="15" max="15" width="16.28515625" style="2" bestFit="1" customWidth="1"/>
    <col min="16" max="16384" width="9.140625" style="4"/>
  </cols>
  <sheetData>
    <row r="1" spans="1:15">
      <c r="A1" s="1" t="s">
        <v>237</v>
      </c>
      <c r="B1" s="1"/>
      <c r="K1" s="3"/>
    </row>
    <row r="2" spans="1:15">
      <c r="A2" s="1" t="s">
        <v>28</v>
      </c>
      <c r="B2" s="1"/>
      <c r="K2" s="3"/>
    </row>
    <row r="3" spans="1:15">
      <c r="A3" s="1" t="s">
        <v>29</v>
      </c>
      <c r="B3" s="1"/>
    </row>
    <row r="4" spans="1:15">
      <c r="A4" s="58" t="s">
        <v>399</v>
      </c>
      <c r="B4" s="58"/>
      <c r="C4" s="59"/>
    </row>
    <row r="5" spans="1:15">
      <c r="A5" s="58" t="s">
        <v>455</v>
      </c>
      <c r="B5" s="58"/>
      <c r="C5" s="59"/>
    </row>
    <row r="6" spans="1:15">
      <c r="I6" s="260" t="s">
        <v>344</v>
      </c>
      <c r="J6" s="260"/>
      <c r="K6" s="260"/>
      <c r="M6" s="260" t="s">
        <v>343</v>
      </c>
      <c r="N6" s="260"/>
      <c r="O6" s="260"/>
    </row>
    <row r="7" spans="1:15">
      <c r="A7" s="6"/>
      <c r="B7" s="6"/>
      <c r="C7" s="5"/>
      <c r="E7" s="4"/>
      <c r="G7" s="4"/>
      <c r="I7" s="4"/>
      <c r="J7" s="16"/>
      <c r="K7" s="7" t="s">
        <v>33</v>
      </c>
      <c r="M7" s="4"/>
      <c r="N7" s="4"/>
      <c r="O7" s="113" t="s">
        <v>33</v>
      </c>
    </row>
    <row r="8" spans="1:15">
      <c r="A8" s="9" t="s">
        <v>41</v>
      </c>
      <c r="B8" s="9"/>
      <c r="E8" s="7"/>
      <c r="G8" s="7" t="s">
        <v>33</v>
      </c>
      <c r="H8" s="10"/>
      <c r="I8" s="261" t="s">
        <v>262</v>
      </c>
      <c r="J8" s="261"/>
      <c r="K8" s="7" t="s">
        <v>39</v>
      </c>
      <c r="M8" s="261" t="s">
        <v>266</v>
      </c>
      <c r="N8" s="261"/>
      <c r="O8" s="113" t="s">
        <v>39</v>
      </c>
    </row>
    <row r="9" spans="1:15" ht="15.75" thickBot="1">
      <c r="A9" s="11" t="s">
        <v>1</v>
      </c>
      <c r="B9" s="12"/>
      <c r="C9" s="14" t="s">
        <v>255</v>
      </c>
      <c r="E9" s="14" t="s">
        <v>35</v>
      </c>
      <c r="G9" s="14" t="s">
        <v>34</v>
      </c>
      <c r="H9" s="10"/>
      <c r="I9" s="14" t="s">
        <v>37</v>
      </c>
      <c r="J9" s="14" t="s">
        <v>38</v>
      </c>
      <c r="K9" s="14" t="s">
        <v>30</v>
      </c>
      <c r="M9" s="14" t="s">
        <v>37</v>
      </c>
      <c r="N9" s="14" t="s">
        <v>38</v>
      </c>
      <c r="O9" s="14" t="s">
        <v>257</v>
      </c>
    </row>
    <row r="10" spans="1:15">
      <c r="C10" s="7" t="s">
        <v>2</v>
      </c>
      <c r="E10" s="7" t="s">
        <v>3</v>
      </c>
      <c r="F10" s="10"/>
      <c r="G10" s="7" t="s">
        <v>4</v>
      </c>
      <c r="H10" s="4"/>
      <c r="I10" s="7" t="s">
        <v>5</v>
      </c>
      <c r="J10" s="113" t="s">
        <v>6</v>
      </c>
      <c r="K10" s="7" t="s">
        <v>7</v>
      </c>
      <c r="M10" s="113" t="s">
        <v>106</v>
      </c>
      <c r="N10" s="113" t="s">
        <v>107</v>
      </c>
      <c r="O10" s="113" t="s">
        <v>181</v>
      </c>
    </row>
    <row r="11" spans="1:15">
      <c r="E11" s="7"/>
      <c r="G11" s="7"/>
      <c r="H11" s="10"/>
      <c r="I11" s="7"/>
      <c r="J11" s="113"/>
      <c r="M11" s="113"/>
      <c r="N11" s="113"/>
    </row>
    <row r="12" spans="1:15">
      <c r="C12" s="15" t="s">
        <v>8</v>
      </c>
    </row>
    <row r="13" spans="1:15">
      <c r="A13" s="16" t="str">
        <f>IF(ISNUMBER(K13),MAX(A$11:A12)+1,"")</f>
        <v/>
      </c>
      <c r="B13" s="16"/>
      <c r="C13" s="17" t="s">
        <v>9</v>
      </c>
      <c r="E13" s="19"/>
      <c r="G13" s="19"/>
      <c r="H13" s="20"/>
      <c r="I13" s="19"/>
      <c r="J13" s="234"/>
      <c r="M13" s="188"/>
      <c r="N13" s="19"/>
    </row>
    <row r="14" spans="1:15">
      <c r="A14" s="16">
        <f>IF(ISNUMBER(K14),MAX(A$11:A13)+1,"")</f>
        <v>1</v>
      </c>
      <c r="B14" s="16"/>
      <c r="C14" s="18" t="s">
        <v>10</v>
      </c>
      <c r="E14" s="19" t="s">
        <v>89</v>
      </c>
      <c r="G14" s="19">
        <f>'Exh II - Plant Data'!H31+'Exh II - Plant Data'!H27</f>
        <v>1424488776.3699999</v>
      </c>
      <c r="H14" s="20"/>
      <c r="I14" s="19" t="s">
        <v>132</v>
      </c>
      <c r="J14" s="235">
        <v>0</v>
      </c>
      <c r="K14" s="19">
        <f>G14*J14</f>
        <v>0</v>
      </c>
      <c r="M14" s="188" t="s">
        <v>132</v>
      </c>
      <c r="N14" s="214">
        <v>0</v>
      </c>
      <c r="O14" s="19">
        <f>N14*$G14</f>
        <v>0</v>
      </c>
    </row>
    <row r="15" spans="1:15">
      <c r="A15" s="16">
        <f>IF(ISNUMBER(K15),MAX(A$11:A14)+1,"")</f>
        <v>2</v>
      </c>
      <c r="B15" s="16"/>
      <c r="C15" s="18" t="s">
        <v>31</v>
      </c>
      <c r="E15" s="19" t="s">
        <v>89</v>
      </c>
      <c r="G15" s="19">
        <f>'Exh II - Plant Data'!H41</f>
        <v>253029067.66999999</v>
      </c>
      <c r="H15" s="20"/>
      <c r="I15" s="188" t="s">
        <v>305</v>
      </c>
      <c r="J15" s="214">
        <v>1</v>
      </c>
      <c r="K15" s="19">
        <f>G15*J15</f>
        <v>253029067.66999999</v>
      </c>
      <c r="M15" s="188" t="s">
        <v>132</v>
      </c>
      <c r="N15" s="214">
        <v>0</v>
      </c>
      <c r="O15" s="19">
        <f>N15*$G15</f>
        <v>0</v>
      </c>
    </row>
    <row r="16" spans="1:15">
      <c r="A16" s="16">
        <f>IF(ISNUMBER(K16),MAX(A$11:A15)+1,"")</f>
        <v>3</v>
      </c>
      <c r="B16" s="16"/>
      <c r="C16" s="18" t="s">
        <v>257</v>
      </c>
      <c r="E16" s="19" t="s">
        <v>89</v>
      </c>
      <c r="G16" s="19">
        <f>'Exh II - Plant Data'!H57</f>
        <v>609096159.01999998</v>
      </c>
      <c r="H16" s="20"/>
      <c r="I16" s="19" t="s">
        <v>132</v>
      </c>
      <c r="J16" s="235">
        <v>0</v>
      </c>
      <c r="K16" s="19">
        <f>G16*J16</f>
        <v>0</v>
      </c>
      <c r="M16" s="188" t="s">
        <v>305</v>
      </c>
      <c r="N16" s="214">
        <v>1</v>
      </c>
      <c r="O16" s="19">
        <f>N16*$G16</f>
        <v>609096159.01999998</v>
      </c>
    </row>
    <row r="17" spans="1:15">
      <c r="A17" s="16">
        <f>IF(ISNUMBER(K17),MAX(A$11:A16)+1,"")</f>
        <v>4</v>
      </c>
      <c r="B17" s="16"/>
      <c r="C17" s="18" t="s">
        <v>256</v>
      </c>
      <c r="E17" s="19" t="s">
        <v>89</v>
      </c>
      <c r="G17" s="19">
        <f>'Exh II - Plant Data'!H71</f>
        <v>543475725.32000005</v>
      </c>
      <c r="H17" s="20"/>
      <c r="I17" s="19" t="s">
        <v>397</v>
      </c>
      <c r="J17" s="236">
        <f>'Exh I - Allocators'!L$35</f>
        <v>0.14803764489174498</v>
      </c>
      <c r="K17" s="19">
        <f>G17*J17</f>
        <v>80454866.432205707</v>
      </c>
      <c r="M17" s="188" t="s">
        <v>398</v>
      </c>
      <c r="N17" s="144">
        <f>'Exh I - Allocators'!$L$36</f>
        <v>0.22663847043140981</v>
      </c>
      <c r="O17" s="19">
        <f>N17*$G17</f>
        <v>123172507.10312583</v>
      </c>
    </row>
    <row r="18" spans="1:15">
      <c r="A18" s="16">
        <f>IF(ISNUMBER(K18),MAX(A$11:A17)+1,"")</f>
        <v>5</v>
      </c>
      <c r="B18" s="16"/>
      <c r="C18" s="18" t="s">
        <v>97</v>
      </c>
      <c r="E18" s="19" t="s">
        <v>89</v>
      </c>
      <c r="G18" s="19">
        <f>'Exh II - Plant Data'!H17</f>
        <v>198567970.25999999</v>
      </c>
      <c r="H18" s="20"/>
      <c r="I18" s="19" t="s">
        <v>397</v>
      </c>
      <c r="J18" s="236">
        <f>'Exh I - Allocators'!L$35</f>
        <v>0.14803764489174498</v>
      </c>
      <c r="K18" s="19">
        <f>G18*J18</f>
        <v>29395534.668224458</v>
      </c>
      <c r="M18" s="188" t="s">
        <v>398</v>
      </c>
      <c r="N18" s="144">
        <f>'Exh I - Allocators'!$L$36</f>
        <v>0.22663847043140981</v>
      </c>
      <c r="O18" s="19">
        <f>N18*$G18</f>
        <v>45003141.056396067</v>
      </c>
    </row>
    <row r="19" spans="1:15">
      <c r="A19" s="16">
        <f>IF(ISNUMBER(K19),MAX(A$11:A18)+1,"")</f>
        <v>6</v>
      </c>
      <c r="B19" s="16"/>
      <c r="C19" s="21" t="s">
        <v>13</v>
      </c>
      <c r="E19" s="22" t="str">
        <f>"Sum of Lines "&amp;A14&amp;" - "&amp;A18</f>
        <v>Sum of Lines 1 - 5</v>
      </c>
      <c r="G19" s="25">
        <f>SUM(G14:G18)</f>
        <v>3028657698.6400003</v>
      </c>
      <c r="H19" s="20"/>
      <c r="I19" s="78" t="s">
        <v>263</v>
      </c>
      <c r="J19" s="237">
        <f>IF(G19&gt;0,K19/G19,0)</f>
        <v>0.11981527953237466</v>
      </c>
      <c r="K19" s="25">
        <f>SUM(K14:K18)</f>
        <v>362879468.77043015</v>
      </c>
      <c r="M19" s="189" t="s">
        <v>265</v>
      </c>
      <c r="N19" s="145">
        <f>IF(G19&gt;0,O19/G19,0)</f>
        <v>0.25663904096146317</v>
      </c>
      <c r="O19" s="25">
        <f>SUM(O14:O18)</f>
        <v>777271807.1795218</v>
      </c>
    </row>
    <row r="20" spans="1:15">
      <c r="A20" s="16" t="str">
        <f>IF(ISNUMBER(K20),MAX(A$11:A19)+1,"")</f>
        <v/>
      </c>
      <c r="B20" s="16"/>
      <c r="C20" s="18"/>
      <c r="E20" s="19"/>
      <c r="G20" s="19"/>
      <c r="H20" s="20"/>
      <c r="I20" s="19"/>
      <c r="J20" s="234"/>
      <c r="M20" s="188"/>
      <c r="N20" s="146"/>
    </row>
    <row r="21" spans="1:15">
      <c r="A21" s="16" t="str">
        <f>IF(ISNUMBER(K21),MAX(A$11:A20)+1,"")</f>
        <v/>
      </c>
      <c r="B21" s="16"/>
      <c r="C21" s="17" t="s">
        <v>14</v>
      </c>
      <c r="E21" s="20"/>
      <c r="G21" s="20"/>
      <c r="H21" s="20"/>
      <c r="I21" s="20"/>
      <c r="J21" s="238"/>
      <c r="M21" s="190"/>
      <c r="N21" s="147"/>
    </row>
    <row r="22" spans="1:15">
      <c r="A22" s="16">
        <f>IF(ISNUMBER(K22),MAX(A$11:A21)+1,"")</f>
        <v>7</v>
      </c>
      <c r="B22" s="16"/>
      <c r="C22" s="18" t="s">
        <v>10</v>
      </c>
      <c r="E22" s="19" t="s">
        <v>89</v>
      </c>
      <c r="G22" s="20">
        <f>'Exh II - Plant Data'!I31+'Exh II - Plant Data'!I27</f>
        <v>367995055.03999996</v>
      </c>
      <c r="H22" s="20"/>
      <c r="I22" s="19" t="s">
        <v>345</v>
      </c>
      <c r="J22" s="239">
        <f>'Exh I - Allocators'!$L$40</f>
        <v>0</v>
      </c>
      <c r="K22" s="19">
        <f>G22*J22</f>
        <v>0</v>
      </c>
      <c r="M22" s="188" t="s">
        <v>345</v>
      </c>
      <c r="N22" s="143">
        <f>'Exh I - Allocators'!$L$40</f>
        <v>0</v>
      </c>
      <c r="O22" s="19">
        <f>G22*N22</f>
        <v>0</v>
      </c>
    </row>
    <row r="23" spans="1:15">
      <c r="A23" s="16">
        <f>IF(ISNUMBER(K23),MAX(A$11:A22)+1,"")</f>
        <v>8</v>
      </c>
      <c r="B23" s="16"/>
      <c r="C23" s="18" t="s">
        <v>31</v>
      </c>
      <c r="E23" s="19" t="s">
        <v>89</v>
      </c>
      <c r="G23" s="20">
        <f>'Exh II - Plant Data'!I41</f>
        <v>103472316.53999998</v>
      </c>
      <c r="H23" s="20"/>
      <c r="I23" s="188" t="s">
        <v>305</v>
      </c>
      <c r="J23" s="214">
        <v>1</v>
      </c>
      <c r="K23" s="19">
        <f>G23*J23</f>
        <v>103472316.53999998</v>
      </c>
      <c r="M23" s="188" t="s">
        <v>132</v>
      </c>
      <c r="N23" s="213">
        <v>0</v>
      </c>
      <c r="O23" s="19">
        <f>G23*N23</f>
        <v>0</v>
      </c>
    </row>
    <row r="24" spans="1:15">
      <c r="A24" s="16">
        <f>IF(ISNUMBER(K24),MAX(A$11:A23)+1,"")</f>
        <v>9</v>
      </c>
      <c r="B24" s="16"/>
      <c r="C24" s="18" t="s">
        <v>257</v>
      </c>
      <c r="E24" s="19" t="s">
        <v>89</v>
      </c>
      <c r="G24" s="20">
        <f>'Exh II - Plant Data'!I57</f>
        <v>300541877.21000028</v>
      </c>
      <c r="H24" s="20"/>
      <c r="I24" s="20" t="s">
        <v>132</v>
      </c>
      <c r="J24" s="235">
        <v>0</v>
      </c>
      <c r="K24" s="19">
        <f>G24*J24</f>
        <v>0</v>
      </c>
      <c r="M24" s="188" t="s">
        <v>305</v>
      </c>
      <c r="N24" s="214">
        <v>1</v>
      </c>
      <c r="O24" s="19">
        <f>G24*N24</f>
        <v>300541877.21000028</v>
      </c>
    </row>
    <row r="25" spans="1:15">
      <c r="A25" s="16">
        <f>IF(ISNUMBER(K25),MAX(A$11:A24)+1,"")</f>
        <v>10</v>
      </c>
      <c r="B25" s="16"/>
      <c r="C25" s="18" t="s">
        <v>256</v>
      </c>
      <c r="E25" s="19" t="s">
        <v>89</v>
      </c>
      <c r="G25" s="20">
        <f>'Exh II - Plant Data'!I71</f>
        <v>246565181.43000022</v>
      </c>
      <c r="H25" s="20"/>
      <c r="I25" s="19" t="s">
        <v>397</v>
      </c>
      <c r="J25" s="236">
        <f>'Exh I - Allocators'!L$35</f>
        <v>0.14803764489174498</v>
      </c>
      <c r="K25" s="19">
        <f>G25*J25</f>
        <v>36500928.771203049</v>
      </c>
      <c r="M25" s="188" t="s">
        <v>398</v>
      </c>
      <c r="N25" s="144">
        <f>'Exh I - Allocators'!$L$36</f>
        <v>0.22663847043140981</v>
      </c>
      <c r="O25" s="19">
        <f>G25*N25</f>
        <v>55881155.580938295</v>
      </c>
    </row>
    <row r="26" spans="1:15">
      <c r="A26" s="16">
        <f>IF(ISNUMBER(K26),MAX(A$11:A25)+1,"")</f>
        <v>11</v>
      </c>
      <c r="B26" s="16"/>
      <c r="C26" s="18" t="s">
        <v>97</v>
      </c>
      <c r="E26" s="19" t="s">
        <v>89</v>
      </c>
      <c r="G26" s="20">
        <f>'Exh II - Plant Data'!I17</f>
        <v>77094266.74000001</v>
      </c>
      <c r="H26" s="20"/>
      <c r="I26" s="19" t="s">
        <v>397</v>
      </c>
      <c r="J26" s="236">
        <f>'Exh I - Allocators'!L$35</f>
        <v>0.14803764489174498</v>
      </c>
      <c r="K26" s="19">
        <f>G26*J26</f>
        <v>11412853.682845587</v>
      </c>
      <c r="M26" s="188" t="s">
        <v>398</v>
      </c>
      <c r="N26" s="144">
        <f>'Exh I - Allocators'!$L$36</f>
        <v>0.22663847043140981</v>
      </c>
      <c r="O26" s="19">
        <f>G26*N26</f>
        <v>17472526.692984711</v>
      </c>
    </row>
    <row r="27" spans="1:15">
      <c r="A27" s="16">
        <f>IF(ISNUMBER(K27),MAX(A$11:A26)+1,"")</f>
        <v>12</v>
      </c>
      <c r="B27" s="16"/>
      <c r="C27" s="21" t="s">
        <v>15</v>
      </c>
      <c r="E27" s="22" t="str">
        <f>"Sum of Lines "&amp;A22&amp;" - "&amp;A26</f>
        <v>Sum of Lines 7 - 11</v>
      </c>
      <c r="G27" s="25">
        <f>SUM(G22:G26)</f>
        <v>1095668696.9600005</v>
      </c>
      <c r="H27" s="20"/>
      <c r="I27" s="20"/>
      <c r="J27" s="238"/>
      <c r="K27" s="25">
        <f>SUM(K22:K26)</f>
        <v>151386098.99404863</v>
      </c>
      <c r="M27" s="190"/>
      <c r="N27" s="20"/>
      <c r="O27" s="25">
        <f>SUM(O22:O26)</f>
        <v>373895559.48392326</v>
      </c>
    </row>
    <row r="28" spans="1:15">
      <c r="A28" s="16" t="str">
        <f>IF(ISNUMBER(K28),MAX(A$11:A27)+1,"")</f>
        <v/>
      </c>
      <c r="B28" s="16"/>
      <c r="C28" s="18"/>
      <c r="E28" s="20"/>
      <c r="G28" s="20"/>
      <c r="H28" s="20"/>
      <c r="I28" s="20"/>
      <c r="J28" s="238"/>
      <c r="M28" s="190"/>
      <c r="N28" s="20"/>
    </row>
    <row r="29" spans="1:15">
      <c r="A29" s="16" t="str">
        <f>IF(ISNUMBER(K29),MAX(A$11:A28)+1,"")</f>
        <v/>
      </c>
      <c r="B29" s="16"/>
      <c r="C29" s="17" t="s">
        <v>16</v>
      </c>
      <c r="E29" s="20"/>
      <c r="G29" s="19"/>
      <c r="H29" s="20"/>
      <c r="I29" s="19"/>
      <c r="J29" s="234"/>
      <c r="M29" s="188"/>
      <c r="N29" s="19"/>
    </row>
    <row r="30" spans="1:15">
      <c r="A30" s="16">
        <f>IF(ISNUMBER(K30),MAX(A$11:A29)+1,"")</f>
        <v>13</v>
      </c>
      <c r="B30" s="16"/>
      <c r="C30" s="18" t="s">
        <v>10</v>
      </c>
      <c r="E30" s="20" t="str">
        <f>"Line "&amp;A14&amp;" - Line "&amp;A22</f>
        <v>Line 1 - Line 7</v>
      </c>
      <c r="G30" s="19">
        <f>G14-G22</f>
        <v>1056493721.3299999</v>
      </c>
      <c r="H30" s="20"/>
      <c r="I30" s="19"/>
      <c r="J30" s="234"/>
      <c r="K30" s="19">
        <f>K14-K22</f>
        <v>0</v>
      </c>
      <c r="M30" s="188"/>
      <c r="N30" s="19"/>
      <c r="O30" s="19">
        <f>O14-O22</f>
        <v>0</v>
      </c>
    </row>
    <row r="31" spans="1:15">
      <c r="A31" s="16">
        <f>IF(ISNUMBER(K31),MAX(A$11:A30)+1,"")</f>
        <v>14</v>
      </c>
      <c r="B31" s="16"/>
      <c r="C31" s="18" t="s">
        <v>31</v>
      </c>
      <c r="E31" s="20" t="str">
        <f>"Line "&amp;A15&amp;" - Line "&amp;A23</f>
        <v>Line 2 - Line 8</v>
      </c>
      <c r="G31" s="19">
        <f>G15-G23</f>
        <v>149556751.13</v>
      </c>
      <c r="H31" s="20"/>
      <c r="I31" s="19"/>
      <c r="J31" s="234"/>
      <c r="K31" s="19">
        <f>K15-K23</f>
        <v>149556751.13</v>
      </c>
      <c r="M31" s="188"/>
      <c r="N31" s="19"/>
      <c r="O31" s="19">
        <f>O15-O23</f>
        <v>0</v>
      </c>
    </row>
    <row r="32" spans="1:15">
      <c r="A32" s="16">
        <f>IF(ISNUMBER(K32),MAX(A$11:A31)+1,"")</f>
        <v>15</v>
      </c>
      <c r="B32" s="16"/>
      <c r="C32" s="18" t="s">
        <v>257</v>
      </c>
      <c r="E32" s="20" t="str">
        <f>"Line "&amp;A16&amp;" - Line "&amp;A24</f>
        <v>Line 3 - Line 9</v>
      </c>
      <c r="G32" s="19">
        <f>G16-G24</f>
        <v>308554281.8099997</v>
      </c>
      <c r="H32" s="20"/>
      <c r="I32" s="20"/>
      <c r="J32" s="238"/>
      <c r="K32" s="19">
        <f>K16-K24</f>
        <v>0</v>
      </c>
      <c r="M32" s="190"/>
      <c r="N32" s="20"/>
      <c r="O32" s="19">
        <f>O16-O24</f>
        <v>308554281.8099997</v>
      </c>
    </row>
    <row r="33" spans="1:15">
      <c r="A33" s="16">
        <f>IF(ISNUMBER(K33),MAX(A$11:A32)+1,"")</f>
        <v>16</v>
      </c>
      <c r="B33" s="16"/>
      <c r="C33" s="18" t="s">
        <v>256</v>
      </c>
      <c r="E33" s="20" t="str">
        <f>"Line "&amp;A17&amp;" - Line "&amp;A25</f>
        <v>Line 4 - Line 10</v>
      </c>
      <c r="G33" s="19">
        <f>G17-G25</f>
        <v>296910543.88999987</v>
      </c>
      <c r="H33" s="20"/>
      <c r="I33" s="20"/>
      <c r="J33" s="238"/>
      <c r="K33" s="19">
        <f>K17-K25</f>
        <v>43953937.661002658</v>
      </c>
      <c r="M33" s="190"/>
      <c r="N33" s="20"/>
      <c r="O33" s="19">
        <f>O17-O25</f>
        <v>67291351.522187531</v>
      </c>
    </row>
    <row r="34" spans="1:15">
      <c r="A34" s="16">
        <f>IF(ISNUMBER(K34),MAX(A$11:A33)+1,"")</f>
        <v>17</v>
      </c>
      <c r="B34" s="16"/>
      <c r="C34" s="18" t="s">
        <v>97</v>
      </c>
      <c r="E34" s="20" t="str">
        <f>"Line "&amp;A18&amp;" - Line "&amp;A26</f>
        <v>Line 5 - Line 11</v>
      </c>
      <c r="G34" s="19">
        <f>G18-G26</f>
        <v>121473703.51999998</v>
      </c>
      <c r="H34" s="20"/>
      <c r="I34" s="20"/>
      <c r="J34" s="238"/>
      <c r="K34" s="19">
        <f>K18-K26</f>
        <v>17982680.985378869</v>
      </c>
      <c r="M34" s="190"/>
      <c r="N34" s="20"/>
      <c r="O34" s="19">
        <f>O18-O26</f>
        <v>27530614.363411356</v>
      </c>
    </row>
    <row r="35" spans="1:15">
      <c r="A35" s="16">
        <f>IF(ISNUMBER(K35),MAX(A$11:A34)+1,"")</f>
        <v>18</v>
      </c>
      <c r="B35" s="16"/>
      <c r="C35" s="21" t="s">
        <v>17</v>
      </c>
      <c r="E35" s="22" t="str">
        <f>"Sum of Lines "&amp;A30&amp;" - "&amp;A34</f>
        <v>Sum of Lines 13 - 17</v>
      </c>
      <c r="G35" s="25">
        <f>SUM(G30:G34)</f>
        <v>1932989001.6799996</v>
      </c>
      <c r="H35" s="20"/>
      <c r="I35" s="78" t="s">
        <v>272</v>
      </c>
      <c r="J35" s="237">
        <f>IF($G35&gt;0,K35/$G35,0)</f>
        <v>0.10941260896599432</v>
      </c>
      <c r="K35" s="25">
        <f>SUM(K30:K34)</f>
        <v>211493369.77638152</v>
      </c>
      <c r="M35" s="189" t="s">
        <v>271</v>
      </c>
      <c r="N35" s="79">
        <f>IF($G35&gt;0,O35/$G35,0)</f>
        <v>0.20868005319482738</v>
      </c>
      <c r="O35" s="25">
        <f>SUM(O30:O34)</f>
        <v>403376247.6955986</v>
      </c>
    </row>
    <row r="36" spans="1:15">
      <c r="A36" s="16" t="str">
        <f>IF(ISNUMBER(K36),MAX(A$11:A35)+1,"")</f>
        <v/>
      </c>
      <c r="B36" s="16"/>
      <c r="E36" s="20"/>
      <c r="I36" s="20"/>
      <c r="M36" s="190"/>
    </row>
    <row r="37" spans="1:15">
      <c r="A37" s="16">
        <f>IF(ISNUMBER(K37),MAX(A$11:A36)+1,"")</f>
        <v>19</v>
      </c>
      <c r="B37" s="16"/>
      <c r="C37" s="5" t="s">
        <v>32</v>
      </c>
      <c r="E37" s="19" t="s">
        <v>151</v>
      </c>
      <c r="G37" s="22">
        <f>'Exh IV - M&amp;S and Prepayments'!J16</f>
        <v>17955611.710000001</v>
      </c>
      <c r="H37" s="26"/>
      <c r="I37" s="19" t="s">
        <v>397</v>
      </c>
      <c r="J37" s="236">
        <f>'Exh I - Allocators'!L$35</f>
        <v>0.14803764489174498</v>
      </c>
      <c r="K37" s="19">
        <f>G37*J37</f>
        <v>2658106.4701390378</v>
      </c>
      <c r="M37" s="191" t="s">
        <v>398</v>
      </c>
      <c r="N37" s="144">
        <f>'Exh I - Allocators'!$L$36</f>
        <v>0.22663847043140981</v>
      </c>
      <c r="O37" s="19">
        <f>G37*N37</f>
        <v>4069432.3736147108</v>
      </c>
    </row>
    <row r="38" spans="1:15">
      <c r="A38" s="16">
        <f>IF(ISNUMBER(K38),MAX(A$11:A37)+1,"")</f>
        <v>20</v>
      </c>
      <c r="B38" s="16"/>
      <c r="C38" s="5" t="s">
        <v>18</v>
      </c>
      <c r="E38" s="19" t="s">
        <v>151</v>
      </c>
      <c r="G38" s="22">
        <f>'Exh IV - M&amp;S and Prepayments'!J20</f>
        <v>1584122.98</v>
      </c>
      <c r="H38" s="26"/>
      <c r="I38" s="19" t="s">
        <v>305</v>
      </c>
      <c r="J38" s="240"/>
      <c r="K38" s="19">
        <f>'Exh IV - M&amp;S and Prepayments'!L20</f>
        <v>0</v>
      </c>
      <c r="M38" s="188" t="s">
        <v>132</v>
      </c>
      <c r="N38" s="213">
        <v>0</v>
      </c>
      <c r="O38" s="19">
        <f>G38*N38</f>
        <v>0</v>
      </c>
    </row>
    <row r="39" spans="1:15">
      <c r="A39" s="16">
        <f>IF(ISNUMBER(K39),MAX(A$11:A38)+1,"")</f>
        <v>21</v>
      </c>
      <c r="B39" s="16"/>
      <c r="C39" s="5" t="s">
        <v>19</v>
      </c>
      <c r="E39" s="22" t="s">
        <v>136</v>
      </c>
      <c r="G39" s="133">
        <f>G59/8</f>
        <v>6434865.0825000014</v>
      </c>
      <c r="H39" s="26"/>
      <c r="I39" s="70" t="s">
        <v>137</v>
      </c>
      <c r="J39" s="241"/>
      <c r="K39" s="131">
        <f>$K59/8</f>
        <v>1350965.781314082</v>
      </c>
      <c r="L39" s="131"/>
      <c r="M39" s="192" t="s">
        <v>137</v>
      </c>
      <c r="N39" s="132"/>
      <c r="O39" s="131">
        <f>$O59/8</f>
        <v>2567408.4922947204</v>
      </c>
    </row>
    <row r="40" spans="1:15">
      <c r="A40" s="16" t="str">
        <f>IF(ISNUMBER(K40),MAX(A$11:A39)+1,"")</f>
        <v/>
      </c>
      <c r="B40" s="16"/>
      <c r="C40" s="5"/>
      <c r="E40" s="22"/>
      <c r="G40" s="22"/>
      <c r="H40" s="26"/>
      <c r="I40" s="22"/>
      <c r="J40" s="241"/>
      <c r="K40" s="19"/>
      <c r="M40" s="193"/>
      <c r="N40" s="22"/>
      <c r="O40" s="19"/>
    </row>
    <row r="41" spans="1:15">
      <c r="A41" s="16">
        <f>IF(ISNUMBER(K41),MAX(A$11:A40)+1,"")</f>
        <v>22</v>
      </c>
      <c r="B41" s="16"/>
      <c r="C41" s="5" t="s">
        <v>20</v>
      </c>
      <c r="E41" s="22" t="str">
        <f>"Line "&amp;A35&amp;" + Sum of Lines "&amp;A37&amp;" - "&amp;A39</f>
        <v>Line 18 + Sum of Lines 19 - 21</v>
      </c>
      <c r="G41" s="25">
        <f>G35+G37+G38+G39</f>
        <v>1958963601.4524996</v>
      </c>
      <c r="H41" s="20"/>
      <c r="I41" s="22"/>
      <c r="J41" s="238"/>
      <c r="K41" s="25">
        <f>K35+K37+K38+K39</f>
        <v>215502442.02783462</v>
      </c>
      <c r="M41" s="193"/>
      <c r="N41" s="20"/>
      <c r="O41" s="25">
        <f>O35+O37+O38+O39</f>
        <v>410013088.56150806</v>
      </c>
    </row>
    <row r="42" spans="1:15">
      <c r="A42" s="16" t="str">
        <f>IF(ISNUMBER(K42),MAX(A$11:A41)+1,"")</f>
        <v/>
      </c>
      <c r="B42" s="16"/>
      <c r="C42" s="5"/>
      <c r="E42" s="22"/>
      <c r="G42" s="20"/>
      <c r="H42" s="20"/>
      <c r="I42" s="22"/>
      <c r="J42" s="238"/>
      <c r="K42" s="20"/>
      <c r="M42" s="193"/>
      <c r="N42" s="20"/>
      <c r="O42" s="20"/>
    </row>
    <row r="43" spans="1:15">
      <c r="A43" s="16">
        <f>IF(ISNUMBER(K43),MAX(A$11:A42)+1,"")</f>
        <v>23</v>
      </c>
      <c r="B43" s="16"/>
      <c r="C43" s="1" t="s">
        <v>21</v>
      </c>
      <c r="D43" s="4"/>
      <c r="E43" s="19" t="s">
        <v>154</v>
      </c>
      <c r="F43" s="4"/>
      <c r="G43" s="28">
        <f>'Exh V - ROR'!$I$16</f>
        <v>6.0200000000000004E-2</v>
      </c>
      <c r="H43" s="29"/>
      <c r="I43" s="28"/>
      <c r="J43" s="242"/>
      <c r="K43" s="28">
        <f>'Exh V - ROR'!$I$16</f>
        <v>6.0200000000000004E-2</v>
      </c>
      <c r="M43" s="194"/>
      <c r="N43" s="28"/>
      <c r="O43" s="28">
        <f>'Exh V - ROR'!$I$16</f>
        <v>6.0200000000000004E-2</v>
      </c>
    </row>
    <row r="44" spans="1:15">
      <c r="A44" s="16">
        <f>IF(ISNUMBER(K44),MAX(A$11:A43)+1,"")</f>
        <v>24</v>
      </c>
      <c r="B44" s="16"/>
      <c r="C44" s="1" t="s">
        <v>22</v>
      </c>
      <c r="D44" s="4"/>
      <c r="E44" s="22" t="str">
        <f>"Line "&amp;A41&amp;" * Line "&amp;A43</f>
        <v>Line 22 * Line 23</v>
      </c>
      <c r="F44" s="4"/>
      <c r="G44" s="30">
        <f>G41*G43</f>
        <v>117929608.80744049</v>
      </c>
      <c r="H44" s="31"/>
      <c r="I44" s="30"/>
      <c r="J44" s="243"/>
      <c r="K44" s="30">
        <f>K41*K43</f>
        <v>12973247.010075646</v>
      </c>
      <c r="M44" s="195"/>
      <c r="N44" s="30"/>
      <c r="O44" s="30">
        <f>O41*O43</f>
        <v>24682787.931402788</v>
      </c>
    </row>
    <row r="45" spans="1:15">
      <c r="A45" s="16" t="str">
        <f>IF(ISNUMBER(K45),MAX(A$11:A44)+1,"")</f>
        <v/>
      </c>
      <c r="B45" s="16"/>
      <c r="E45" s="22"/>
      <c r="M45" s="196"/>
    </row>
    <row r="46" spans="1:15">
      <c r="A46" s="16" t="str">
        <f>IF(ISNUMBER(K46),MAX(A$11:A45)+1,"")</f>
        <v/>
      </c>
      <c r="B46" s="16"/>
      <c r="C46" s="15" t="s">
        <v>23</v>
      </c>
      <c r="E46" s="22"/>
      <c r="M46" s="196"/>
    </row>
    <row r="47" spans="1:15">
      <c r="A47" s="16" t="str">
        <f>IF(ISNUMBER(K47),MAX(A$11:A46)+1,"")</f>
        <v/>
      </c>
      <c r="B47" s="16"/>
      <c r="C47" s="5" t="s">
        <v>127</v>
      </c>
      <c r="E47" s="4"/>
      <c r="G47" s="4"/>
      <c r="H47" s="20"/>
      <c r="I47" s="19"/>
      <c r="J47" s="234"/>
      <c r="K47" s="19"/>
      <c r="M47" s="188"/>
      <c r="N47" s="19"/>
      <c r="O47" s="19"/>
    </row>
    <row r="48" spans="1:15">
      <c r="A48" s="16">
        <f>IF(ISNUMBER(K48),MAX(A$11:A47)+1,"")</f>
        <v>25</v>
      </c>
      <c r="B48" s="16"/>
      <c r="C48" s="18" t="s">
        <v>128</v>
      </c>
      <c r="E48" s="19" t="s">
        <v>126</v>
      </c>
      <c r="G48" s="19">
        <f>'Exh III - O&amp;M Expenses'!F45</f>
        <v>6679184.6999999993</v>
      </c>
      <c r="H48" s="20"/>
      <c r="I48" s="188" t="s">
        <v>305</v>
      </c>
      <c r="J48" s="214">
        <v>1</v>
      </c>
      <c r="K48" s="19">
        <f>G48*J48</f>
        <v>6679184.6999999993</v>
      </c>
      <c r="M48" s="188" t="s">
        <v>132</v>
      </c>
      <c r="N48" s="213">
        <v>0</v>
      </c>
      <c r="O48" s="19">
        <f>G48*N48</f>
        <v>0</v>
      </c>
    </row>
    <row r="49" spans="1:15">
      <c r="A49" s="16">
        <f>IF(ISNUMBER(K49),MAX(A$11:A48)+1,"")</f>
        <v>26</v>
      </c>
      <c r="B49" s="16"/>
      <c r="C49" s="18" t="s">
        <v>259</v>
      </c>
      <c r="E49" s="19" t="s">
        <v>126</v>
      </c>
      <c r="G49" s="19">
        <f>'Exh III - O&amp;M Expenses'!F35</f>
        <v>581439.11</v>
      </c>
      <c r="H49" s="20"/>
      <c r="I49" s="188" t="s">
        <v>305</v>
      </c>
      <c r="J49" s="214">
        <v>1</v>
      </c>
      <c r="K49" s="19">
        <f>G49*J49</f>
        <v>581439.11</v>
      </c>
      <c r="M49" s="188" t="s">
        <v>132</v>
      </c>
      <c r="N49" s="213">
        <v>0</v>
      </c>
      <c r="O49" s="19">
        <f>G49*N49</f>
        <v>0</v>
      </c>
    </row>
    <row r="50" spans="1:15">
      <c r="A50" s="16">
        <f>IF(ISNUMBER(K50),MAX(A$11:A49)+1,"")</f>
        <v>27</v>
      </c>
      <c r="B50" s="16"/>
      <c r="C50" s="18" t="s">
        <v>275</v>
      </c>
      <c r="E50" s="19" t="s">
        <v>126</v>
      </c>
      <c r="G50" s="22">
        <f>'Exh III - O&amp;M Expenses'!F63</f>
        <v>13284189.170000002</v>
      </c>
      <c r="H50" s="20"/>
      <c r="I50" s="148" t="s">
        <v>132</v>
      </c>
      <c r="J50" s="235">
        <v>0</v>
      </c>
      <c r="K50" s="19">
        <f>G50*J50</f>
        <v>0</v>
      </c>
      <c r="M50" s="188" t="s">
        <v>305</v>
      </c>
      <c r="N50" s="214">
        <v>1</v>
      </c>
      <c r="O50" s="19">
        <f>G50*N50</f>
        <v>13284189.170000002</v>
      </c>
    </row>
    <row r="51" spans="1:15">
      <c r="A51" s="16">
        <f>IF(ISNUMBER(K51),MAX(A$11:A50)+1,"")</f>
        <v>28</v>
      </c>
      <c r="B51" s="16"/>
      <c r="C51" s="21" t="s">
        <v>131</v>
      </c>
      <c r="E51" s="19" t="str">
        <f>"Line "&amp;A48&amp;"  - Line "&amp;A49&amp;" + Line "&amp;A50</f>
        <v>Line 25  - Line 26 + Line 27</v>
      </c>
      <c r="G51" s="25">
        <f>G48-G49+G50</f>
        <v>19381934.760000002</v>
      </c>
      <c r="H51" s="20"/>
      <c r="I51" s="20"/>
      <c r="J51" s="236"/>
      <c r="K51" s="25">
        <f>K48-K49+K50</f>
        <v>6097745.5899999989</v>
      </c>
      <c r="M51" s="190"/>
      <c r="N51" s="63"/>
      <c r="O51" s="25">
        <f>O48-O49+O50</f>
        <v>13284189.170000002</v>
      </c>
    </row>
    <row r="52" spans="1:15">
      <c r="A52" s="16" t="str">
        <f>IF(ISNUMBER(K52),MAX(A$11:A51)+1,"")</f>
        <v/>
      </c>
      <c r="B52" s="16"/>
      <c r="C52" s="33"/>
      <c r="E52" s="19"/>
      <c r="G52" s="19"/>
      <c r="H52" s="20"/>
      <c r="I52" s="19"/>
      <c r="J52" s="234"/>
      <c r="K52" s="19"/>
      <c r="M52" s="188"/>
      <c r="N52" s="19"/>
      <c r="O52" s="19"/>
    </row>
    <row r="53" spans="1:15">
      <c r="A53" s="16" t="str">
        <f>IF(ISNUMBER(K53),MAX(A$11:A52)+1,"")</f>
        <v/>
      </c>
      <c r="B53" s="16"/>
      <c r="C53" s="5" t="s">
        <v>130</v>
      </c>
      <c r="E53" s="4"/>
      <c r="G53" s="19"/>
      <c r="H53" s="20"/>
      <c r="I53" s="19"/>
      <c r="J53" s="234"/>
      <c r="K53" s="19"/>
      <c r="M53" s="188"/>
      <c r="N53" s="19"/>
      <c r="O53" s="19"/>
    </row>
    <row r="54" spans="1:15">
      <c r="A54" s="16">
        <f>IF(ISNUMBER(K54),MAX(A$11:A53)+1,"")</f>
        <v>29</v>
      </c>
      <c r="B54" s="16"/>
      <c r="C54" s="18" t="s">
        <v>129</v>
      </c>
      <c r="E54" s="19" t="s">
        <v>126</v>
      </c>
      <c r="G54" s="19">
        <f>'Exh III - O&amp;M Expenses'!F113</f>
        <v>32096985.900000006</v>
      </c>
      <c r="H54" s="20"/>
      <c r="I54" s="19" t="s">
        <v>397</v>
      </c>
      <c r="J54" s="236">
        <f>'Exh I - Allocators'!L$35</f>
        <v>0.14803764489174498</v>
      </c>
      <c r="K54" s="19">
        <f>G54*J54</f>
        <v>4751562.2007595468</v>
      </c>
      <c r="M54" s="191" t="s">
        <v>398</v>
      </c>
      <c r="N54" s="144">
        <f>'Exh I - Allocators'!$L$36</f>
        <v>0.22663847043140981</v>
      </c>
      <c r="O54" s="19">
        <f>G54*N54</f>
        <v>7274411.7898345292</v>
      </c>
    </row>
    <row r="55" spans="1:15">
      <c r="A55" s="16">
        <f>IF(ISNUMBER(K55),MAX(A$11:A54)+1,"")</f>
        <v>30</v>
      </c>
      <c r="B55" s="16"/>
      <c r="C55" s="18" t="s">
        <v>258</v>
      </c>
      <c r="E55" s="19" t="s">
        <v>126</v>
      </c>
      <c r="G55" s="19">
        <f>'Exh III - O&amp;M Expenses'!F102</f>
        <v>1076543.73</v>
      </c>
      <c r="H55" s="20"/>
      <c r="I55" s="19" t="s">
        <v>397</v>
      </c>
      <c r="J55" s="236">
        <f>'Exh I - Allocators'!L$35</f>
        <v>0.14803764489174498</v>
      </c>
      <c r="K55" s="19">
        <f>G55*J55</f>
        <v>159368.99841217458</v>
      </c>
      <c r="M55" s="191" t="s">
        <v>398</v>
      </c>
      <c r="N55" s="144">
        <f>'Exh I - Allocators'!$L$36</f>
        <v>0.22663847043140981</v>
      </c>
      <c r="O55" s="19">
        <f>G55*N55</f>
        <v>243986.22431972463</v>
      </c>
    </row>
    <row r="56" spans="1:15">
      <c r="A56" s="16">
        <f>IF(ISNUMBER(K56),MAX(A$11:A55)+1,"")</f>
        <v>31</v>
      </c>
      <c r="B56" s="16"/>
      <c r="C56" s="18" t="s">
        <v>139</v>
      </c>
      <c r="E56" s="19" t="s">
        <v>126</v>
      </c>
      <c r="G56" s="19">
        <f>'Exh III - O&amp;M Expenses'!F102</f>
        <v>1076543.73</v>
      </c>
      <c r="H56" s="20"/>
      <c r="I56" s="19" t="s">
        <v>274</v>
      </c>
      <c r="J56" s="240">
        <f>$J$35</f>
        <v>0.10941260896599432</v>
      </c>
      <c r="K56" s="19">
        <f>G56*J56</f>
        <v>117787.45816528297</v>
      </c>
      <c r="M56" s="188" t="s">
        <v>273</v>
      </c>
      <c r="N56" s="73">
        <f>$N$35</f>
        <v>0.20868005319482738</v>
      </c>
      <c r="O56" s="19">
        <f>G56*N56</f>
        <v>224653.20284295789</v>
      </c>
    </row>
    <row r="57" spans="1:15">
      <c r="A57" s="16">
        <f>IF(ISNUMBER(K57),MAX(A$11:A56)+1,"")</f>
        <v>32</v>
      </c>
      <c r="B57" s="16"/>
      <c r="C57" s="21" t="s">
        <v>114</v>
      </c>
      <c r="E57" s="19" t="str">
        <f>"Line "&amp;A54&amp;"  - Line "&amp;A55&amp;" + Line "&amp;A56</f>
        <v>Line 29  - Line 30 + Line 31</v>
      </c>
      <c r="G57" s="25">
        <f>G54-G55+G56</f>
        <v>32096985.900000006</v>
      </c>
      <c r="H57" s="20"/>
      <c r="I57" s="19"/>
      <c r="J57" s="234"/>
      <c r="K57" s="25">
        <f>K54-K55+K56</f>
        <v>4709980.660512656</v>
      </c>
      <c r="M57" s="188"/>
      <c r="N57" s="19"/>
      <c r="O57" s="25">
        <f>O54-O55+O56</f>
        <v>7255078.7683577631</v>
      </c>
    </row>
    <row r="58" spans="1:15">
      <c r="A58" s="16" t="str">
        <f>IF(ISNUMBER(K58),MAX(A$11:A57)+1,"")</f>
        <v/>
      </c>
      <c r="B58" s="16"/>
      <c r="C58" s="62"/>
      <c r="E58" s="19"/>
      <c r="G58" s="20"/>
      <c r="H58" s="20"/>
      <c r="I58" s="19"/>
      <c r="J58" s="234"/>
      <c r="K58" s="20"/>
      <c r="M58" s="188"/>
      <c r="N58" s="19"/>
      <c r="O58" s="20"/>
    </row>
    <row r="59" spans="1:15">
      <c r="A59" s="16">
        <f>IF(ISNUMBER(K59),MAX(A$11:A58)+1,"")</f>
        <v>33</v>
      </c>
      <c r="B59" s="16"/>
      <c r="C59" s="21" t="s">
        <v>143</v>
      </c>
      <c r="E59" s="22" t="str">
        <f>"Line "&amp;A51&amp;" + Line "&amp;A57</f>
        <v>Line 28 + Line 32</v>
      </c>
      <c r="G59" s="25">
        <f>G51+G57</f>
        <v>51478920.660000011</v>
      </c>
      <c r="H59" s="20"/>
      <c r="I59" s="19"/>
      <c r="J59" s="234"/>
      <c r="K59" s="25">
        <f>K51+K57</f>
        <v>10807726.250512656</v>
      </c>
      <c r="M59" s="188"/>
      <c r="N59" s="19"/>
      <c r="O59" s="25">
        <f>O51+O57</f>
        <v>20539267.938357763</v>
      </c>
    </row>
    <row r="60" spans="1:15">
      <c r="A60" s="16" t="str">
        <f>IF(ISNUMBER(K60),MAX(A$11:A59)+1,"")</f>
        <v/>
      </c>
      <c r="B60" s="16"/>
      <c r="C60" s="18"/>
      <c r="E60" s="19"/>
      <c r="G60" s="19"/>
      <c r="H60" s="20"/>
      <c r="I60" s="19"/>
      <c r="J60" s="234"/>
      <c r="K60" s="19"/>
      <c r="M60" s="188"/>
      <c r="N60" s="19"/>
      <c r="O60" s="19"/>
    </row>
    <row r="61" spans="1:15">
      <c r="A61" s="16" t="str">
        <f>IF(ISNUMBER(K61),MAX(A$11:A60)+1,"")</f>
        <v/>
      </c>
      <c r="B61" s="16"/>
      <c r="C61" s="5" t="s">
        <v>140</v>
      </c>
      <c r="E61" s="19"/>
      <c r="G61" s="19"/>
      <c r="H61" s="20"/>
      <c r="I61" s="19"/>
      <c r="J61" s="234"/>
      <c r="K61" s="19"/>
      <c r="M61" s="188"/>
      <c r="N61" s="19"/>
      <c r="O61" s="19"/>
    </row>
    <row r="62" spans="1:15">
      <c r="A62" s="16">
        <f>IF(ISNUMBER(K62),MAX(A$11:A61)+1,"")</f>
        <v>34</v>
      </c>
      <c r="B62" s="16"/>
      <c r="C62" s="18" t="s">
        <v>30</v>
      </c>
      <c r="E62" s="19" t="s">
        <v>89</v>
      </c>
      <c r="G62" s="19">
        <f>'Exh II - Plant Data'!L41</f>
        <v>5866723.5999999996</v>
      </c>
      <c r="H62" s="20"/>
      <c r="I62" s="188" t="s">
        <v>305</v>
      </c>
      <c r="J62" s="214">
        <v>1</v>
      </c>
      <c r="K62" s="19">
        <f>G62*J62</f>
        <v>5866723.5999999996</v>
      </c>
      <c r="M62" s="188" t="s">
        <v>132</v>
      </c>
      <c r="N62" s="213">
        <v>0</v>
      </c>
      <c r="O62" s="19">
        <f>G62*N62</f>
        <v>0</v>
      </c>
    </row>
    <row r="63" spans="1:15">
      <c r="A63" s="16">
        <f>IF(ISNUMBER(K63),MAX(A$11:A62)+1,"")</f>
        <v>35</v>
      </c>
      <c r="B63" s="16"/>
      <c r="C63" s="18" t="s">
        <v>141</v>
      </c>
      <c r="E63" s="19" t="s">
        <v>89</v>
      </c>
      <c r="G63" s="19">
        <f>'Exh II - Plant Data'!L71</f>
        <v>16521950.999999994</v>
      </c>
      <c r="H63" s="20"/>
      <c r="I63" s="19" t="s">
        <v>397</v>
      </c>
      <c r="J63" s="236">
        <f>'Exh I - Allocators'!L$35</f>
        <v>0.14803764489174498</v>
      </c>
      <c r="K63" s="19">
        <f>G63*J63</f>
        <v>2445870.7150568101</v>
      </c>
      <c r="M63" s="191" t="s">
        <v>398</v>
      </c>
      <c r="N63" s="144">
        <f>'Exh I - Allocators'!$L$36</f>
        <v>0.22663847043140981</v>
      </c>
      <c r="O63" s="19">
        <f>G63*N63</f>
        <v>3744509.7031827006</v>
      </c>
    </row>
    <row r="64" spans="1:15">
      <c r="A64" s="16">
        <f>IF(ISNUMBER(K64),MAX(A$11:A63)+1,"")</f>
        <v>36</v>
      </c>
      <c r="B64" s="16"/>
      <c r="C64" s="18" t="s">
        <v>97</v>
      </c>
      <c r="E64" s="19" t="s">
        <v>89</v>
      </c>
      <c r="G64" s="19">
        <f>'Exh II - Plant Data'!L17</f>
        <v>8849329.4000000004</v>
      </c>
      <c r="H64" s="20"/>
      <c r="I64" s="19" t="s">
        <v>397</v>
      </c>
      <c r="J64" s="236">
        <f>'Exh I - Allocators'!L$35</f>
        <v>0.14803764489174498</v>
      </c>
      <c r="K64" s="19">
        <f>G64*J64</f>
        <v>1310033.8832472786</v>
      </c>
      <c r="M64" s="191" t="s">
        <v>398</v>
      </c>
      <c r="N64" s="144">
        <f>'Exh I - Allocators'!$L$36</f>
        <v>0.22663847043140981</v>
      </c>
      <c r="O64" s="19">
        <f>G64*N64</f>
        <v>2005598.4795597056</v>
      </c>
    </row>
    <row r="65" spans="1:15">
      <c r="A65" s="16">
        <f>IF(ISNUMBER(K65),MAX(A$11:A64)+1,"")</f>
        <v>37</v>
      </c>
      <c r="B65" s="16"/>
      <c r="C65" s="18" t="s">
        <v>257</v>
      </c>
      <c r="E65" s="19" t="s">
        <v>89</v>
      </c>
      <c r="G65" s="22">
        <f>'Exh II - Plant Data'!L57</f>
        <v>19942591.919999998</v>
      </c>
      <c r="H65" s="20"/>
      <c r="I65" s="19" t="s">
        <v>132</v>
      </c>
      <c r="J65" s="235">
        <v>0</v>
      </c>
      <c r="K65" s="19">
        <f>G65*J65</f>
        <v>0</v>
      </c>
      <c r="M65" s="188" t="s">
        <v>305</v>
      </c>
      <c r="N65" s="214">
        <v>1</v>
      </c>
      <c r="O65" s="19">
        <f>G65*N65</f>
        <v>19942591.919999998</v>
      </c>
    </row>
    <row r="66" spans="1:15">
      <c r="A66" s="16">
        <f>IF(ISNUMBER(K66),MAX(A$11:A65)+1,"")</f>
        <v>38</v>
      </c>
      <c r="B66" s="16"/>
      <c r="C66" s="21" t="s">
        <v>142</v>
      </c>
      <c r="E66" s="22" t="str">
        <f>"Sum of Lines "&amp;A62&amp;" - "&amp;A65</f>
        <v>Sum of Lines 34 - 37</v>
      </c>
      <c r="G66" s="25">
        <f>SUM(G62:G65)</f>
        <v>51180595.919999987</v>
      </c>
      <c r="H66" s="20"/>
      <c r="I66" s="19"/>
      <c r="J66" s="234"/>
      <c r="K66" s="25">
        <f>SUM(K62:K65)</f>
        <v>9622628.1983040888</v>
      </c>
      <c r="M66" s="188"/>
      <c r="N66" s="19"/>
      <c r="O66" s="25">
        <f>SUM(O62:O65)</f>
        <v>25692700.102742404</v>
      </c>
    </row>
    <row r="67" spans="1:15">
      <c r="A67" s="16" t="str">
        <f>IF(ISNUMBER(K67),MAX(A$11:A66)+1,"")</f>
        <v/>
      </c>
      <c r="B67" s="16"/>
      <c r="C67" s="33"/>
      <c r="E67" s="19"/>
      <c r="G67" s="19"/>
      <c r="H67" s="20"/>
      <c r="I67" s="19"/>
      <c r="J67" s="234"/>
      <c r="K67" s="19"/>
      <c r="M67" s="188"/>
      <c r="N67" s="19"/>
      <c r="O67" s="19"/>
    </row>
    <row r="68" spans="1:15">
      <c r="A68" s="16" t="str">
        <f>IF(ISNUMBER(K68),MAX(A$11:A67)+1,"")</f>
        <v/>
      </c>
      <c r="B68" s="16"/>
      <c r="C68" s="1" t="s">
        <v>168</v>
      </c>
      <c r="E68" s="22"/>
      <c r="G68" s="20"/>
      <c r="H68" s="20"/>
      <c r="I68" s="20"/>
      <c r="J68" s="238"/>
      <c r="K68" s="20"/>
      <c r="M68" s="190"/>
      <c r="N68" s="20"/>
      <c r="O68" s="20"/>
    </row>
    <row r="69" spans="1:15">
      <c r="A69" s="16">
        <f>IF(ISNUMBER(K69),MAX(A$11:A68)+1,"")</f>
        <v>39</v>
      </c>
      <c r="B69" s="16"/>
      <c r="C69" s="23" t="s">
        <v>174</v>
      </c>
      <c r="E69" s="19" t="s">
        <v>169</v>
      </c>
      <c r="G69" s="20">
        <f>'Exh VI - Other Taxes'!J14</f>
        <v>7936039.4100000001</v>
      </c>
      <c r="H69" s="20"/>
      <c r="I69" s="20" t="s">
        <v>278</v>
      </c>
      <c r="J69" s="244">
        <f>$J$19</f>
        <v>0.11981527953237466</v>
      </c>
      <c r="K69" s="19">
        <f>G69*J69</f>
        <v>950858.78028909164</v>
      </c>
      <c r="M69" s="190" t="s">
        <v>264</v>
      </c>
      <c r="N69" s="80">
        <f>N19</f>
        <v>0.25663904096146317</v>
      </c>
      <c r="O69" s="19">
        <f>G69*N69</f>
        <v>2036697.5432147761</v>
      </c>
    </row>
    <row r="70" spans="1:15">
      <c r="A70" s="16">
        <f>IF(ISNUMBER(K70),MAX(A$11:A69)+1,"")</f>
        <v>40</v>
      </c>
      <c r="B70" s="16"/>
      <c r="C70" s="23" t="s">
        <v>175</v>
      </c>
      <c r="E70" s="19" t="s">
        <v>169</v>
      </c>
      <c r="G70" s="20">
        <f>'Exh VI - Other Taxes'!K14</f>
        <v>0</v>
      </c>
      <c r="H70" s="20"/>
      <c r="I70" s="19" t="s">
        <v>397</v>
      </c>
      <c r="J70" s="236">
        <f>'Exh I - Allocators'!L$35</f>
        <v>0.14803764489174498</v>
      </c>
      <c r="K70" s="19">
        <f>G70*J70</f>
        <v>0</v>
      </c>
      <c r="M70" s="191" t="s">
        <v>398</v>
      </c>
      <c r="N70" s="144">
        <f>'Exh I - Allocators'!$L$36</f>
        <v>0.22663847043140981</v>
      </c>
      <c r="O70" s="19">
        <f>G70*N70</f>
        <v>0</v>
      </c>
    </row>
    <row r="71" spans="1:15">
      <c r="A71" s="16">
        <f>IF(ISNUMBER(K71),MAX(A$11:A70)+1,"")</f>
        <v>41</v>
      </c>
      <c r="B71" s="16"/>
      <c r="C71" s="23" t="s">
        <v>182</v>
      </c>
      <c r="E71" s="19" t="s">
        <v>169</v>
      </c>
      <c r="G71" s="20">
        <f>'Exh VI - Other Taxes'!L14</f>
        <v>8865259.7199999988</v>
      </c>
      <c r="H71" s="20"/>
      <c r="I71" s="148" t="s">
        <v>132</v>
      </c>
      <c r="J71" s="235">
        <v>0</v>
      </c>
      <c r="K71" s="19">
        <f>G71*J71</f>
        <v>0</v>
      </c>
      <c r="M71" s="188" t="s">
        <v>132</v>
      </c>
      <c r="N71" s="213">
        <v>0</v>
      </c>
      <c r="O71" s="19">
        <f>G71*N71</f>
        <v>0</v>
      </c>
    </row>
    <row r="72" spans="1:15">
      <c r="A72" s="16">
        <f>IF(ISNUMBER(K72),MAX(A$11:A71)+1,"")</f>
        <v>42</v>
      </c>
      <c r="B72" s="16"/>
      <c r="C72" s="24" t="s">
        <v>183</v>
      </c>
      <c r="E72" s="22" t="str">
        <f>"Sum of Lines "&amp;A69&amp;" - "&amp;A71</f>
        <v>Sum of Lines 39 - 41</v>
      </c>
      <c r="G72" s="25">
        <f>SUM(G69:G71)</f>
        <v>16801299.129999999</v>
      </c>
      <c r="H72" s="20"/>
      <c r="I72" s="19"/>
      <c r="J72" s="236"/>
      <c r="K72" s="25">
        <f>SUM(K69:K71)</f>
        <v>950858.78028909164</v>
      </c>
      <c r="M72" s="188"/>
      <c r="N72" s="63"/>
      <c r="O72" s="25">
        <f>SUM(O69:O71)</f>
        <v>2036697.5432147761</v>
      </c>
    </row>
    <row r="73" spans="1:15">
      <c r="A73" s="16" t="str">
        <f>IF(ISNUMBER(K73),MAX(A$11:A72)+1,"")</f>
        <v/>
      </c>
      <c r="B73" s="16"/>
      <c r="C73" s="1"/>
      <c r="E73" s="22"/>
      <c r="G73" s="20"/>
      <c r="H73" s="20"/>
      <c r="I73" s="20"/>
      <c r="J73" s="238"/>
      <c r="K73" s="20"/>
      <c r="M73" s="190"/>
      <c r="N73" s="20"/>
      <c r="O73" s="20"/>
    </row>
    <row r="74" spans="1:15">
      <c r="A74" s="16">
        <f>IF(ISNUMBER(K74),MAX(A$11:A73)+1,"")</f>
        <v>43</v>
      </c>
      <c r="B74" s="16"/>
      <c r="C74" s="84" t="s">
        <v>25</v>
      </c>
      <c r="E74" s="19" t="str">
        <f>"Line "&amp;A59&amp;"  + Line "&amp;A66&amp;" + Line "&amp;A72</f>
        <v>Line 33  + Line 38 + Line 42</v>
      </c>
      <c r="G74" s="25">
        <f>G59+G66+G72</f>
        <v>119460815.70999999</v>
      </c>
      <c r="H74" s="20"/>
      <c r="I74" s="20"/>
      <c r="J74" s="238"/>
      <c r="K74" s="25">
        <f>K59+K66+K72</f>
        <v>21381213.229105838</v>
      </c>
      <c r="M74" s="190"/>
      <c r="N74" s="20"/>
      <c r="O74" s="25">
        <f>O59+O66+O72</f>
        <v>48268665.584314942</v>
      </c>
    </row>
    <row r="75" spans="1:15">
      <c r="A75" s="16" t="str">
        <f>IF(ISNUMBER(K75),MAX(A$11:A74)+1,"")</f>
        <v/>
      </c>
      <c r="B75" s="16"/>
      <c r="C75" s="84"/>
      <c r="E75" s="19"/>
      <c r="G75" s="20"/>
      <c r="H75" s="20"/>
      <c r="I75" s="20"/>
      <c r="J75" s="238"/>
      <c r="K75" s="20"/>
      <c r="M75" s="190"/>
      <c r="N75" s="20"/>
      <c r="O75" s="20"/>
    </row>
    <row r="76" spans="1:15">
      <c r="A76" s="16">
        <f>IF(ISNUMBER(K76),MAX(A$11:A75)+1,"")</f>
        <v>44</v>
      </c>
      <c r="B76" s="16"/>
      <c r="C76" s="84" t="s">
        <v>276</v>
      </c>
      <c r="E76" s="22" t="str">
        <f>"Line "&amp;A44&amp;" + Line "&amp;A74</f>
        <v>Line 24 + Line 43</v>
      </c>
      <c r="G76" s="20"/>
      <c r="H76" s="20"/>
      <c r="I76" s="20"/>
      <c r="J76" s="238"/>
      <c r="K76" s="25">
        <f>K44+K74</f>
        <v>34354460.239181481</v>
      </c>
      <c r="M76" s="190"/>
      <c r="N76" s="20"/>
      <c r="O76" s="25">
        <f>O44+O74</f>
        <v>72951453.51571773</v>
      </c>
    </row>
    <row r="77" spans="1:15">
      <c r="A77" s="16" t="str">
        <f>IF(ISNUMBER(K77),MAX(A$11:A76)+1,"")</f>
        <v/>
      </c>
      <c r="B77" s="16"/>
      <c r="E77" s="22"/>
      <c r="I77" s="3"/>
      <c r="M77" s="197"/>
    </row>
    <row r="78" spans="1:15">
      <c r="A78" s="16" t="str">
        <f>IF(ISNUMBER(K78),MAX(A$11:A77)+1,"")</f>
        <v/>
      </c>
      <c r="B78" s="16"/>
      <c r="C78" s="15" t="s">
        <v>26</v>
      </c>
      <c r="I78" s="149"/>
      <c r="M78" s="197"/>
    </row>
    <row r="79" spans="1:15">
      <c r="A79" s="16" t="str">
        <f>IF(ISNUMBER(K79),MAX(A$11:A78)+1,"")</f>
        <v/>
      </c>
      <c r="B79" s="16"/>
      <c r="C79" s="1" t="s">
        <v>233</v>
      </c>
      <c r="D79" s="4"/>
      <c r="E79" s="22"/>
      <c r="F79" s="4"/>
      <c r="G79" s="22"/>
      <c r="H79" s="26"/>
      <c r="I79" s="150"/>
      <c r="J79" s="241"/>
      <c r="K79" s="22"/>
      <c r="M79" s="198"/>
      <c r="N79" s="22"/>
      <c r="O79" s="22"/>
    </row>
    <row r="80" spans="1:15">
      <c r="A80" s="16">
        <f>IF(ISNUMBER(K80),MAX(A$11:A79)+1,"")</f>
        <v>45</v>
      </c>
      <c r="B80" s="16"/>
      <c r="C80" s="23" t="s">
        <v>234</v>
      </c>
      <c r="D80" s="4"/>
      <c r="E80" s="19" t="s">
        <v>216</v>
      </c>
      <c r="F80" s="4"/>
      <c r="G80" s="22">
        <f>-'Exh VII - Rev Crd'!H16</f>
        <v>0</v>
      </c>
      <c r="H80" s="26"/>
      <c r="I80" s="151" t="s">
        <v>305</v>
      </c>
      <c r="J80" s="235">
        <v>0</v>
      </c>
      <c r="K80" s="19">
        <f>G80*J80</f>
        <v>0</v>
      </c>
      <c r="M80" s="191" t="s">
        <v>132</v>
      </c>
      <c r="N80" s="213">
        <v>0</v>
      </c>
      <c r="O80" s="19">
        <f>N80*G80</f>
        <v>0</v>
      </c>
    </row>
    <row r="81" spans="1:15">
      <c r="A81" s="16">
        <f>IF(ISNUMBER(K81),MAX(A$11:A80)+1,"")</f>
        <v>46</v>
      </c>
      <c r="B81" s="16"/>
      <c r="C81" s="23" t="s">
        <v>280</v>
      </c>
      <c r="D81" s="4"/>
      <c r="E81" s="19" t="s">
        <v>216</v>
      </c>
      <c r="F81" s="4"/>
      <c r="G81" s="26">
        <f>-'Exh VII - Rev Crd'!I16</f>
        <v>-4383497.0600000005</v>
      </c>
      <c r="H81" s="26"/>
      <c r="I81" s="152" t="s">
        <v>132</v>
      </c>
      <c r="J81" s="235">
        <v>0</v>
      </c>
      <c r="K81" s="19">
        <f>G81*J81</f>
        <v>0</v>
      </c>
      <c r="M81" s="199" t="s">
        <v>305</v>
      </c>
      <c r="N81" s="213">
        <v>1</v>
      </c>
      <c r="O81" s="19">
        <f>N81*G81</f>
        <v>-4383497.0600000005</v>
      </c>
    </row>
    <row r="82" spans="1:15">
      <c r="A82" s="16">
        <f>IF(ISNUMBER(K82),MAX(A$11:A81)+1,"")</f>
        <v>47</v>
      </c>
      <c r="B82" s="16"/>
      <c r="C82" s="23" t="s">
        <v>174</v>
      </c>
      <c r="E82" s="19" t="s">
        <v>216</v>
      </c>
      <c r="G82" s="20">
        <f>-'Exh VII - Rev Crd'!J16</f>
        <v>0</v>
      </c>
      <c r="H82" s="20"/>
      <c r="I82" s="153" t="s">
        <v>278</v>
      </c>
      <c r="J82" s="244">
        <f>$J$19</f>
        <v>0.11981527953237466</v>
      </c>
      <c r="K82" s="19">
        <f>G82*J82</f>
        <v>0</v>
      </c>
      <c r="M82" s="190" t="s">
        <v>264</v>
      </c>
      <c r="N82" s="80">
        <f>N19</f>
        <v>0.25663904096146317</v>
      </c>
      <c r="O82" s="19">
        <f>N82*G82</f>
        <v>0</v>
      </c>
    </row>
    <row r="83" spans="1:15">
      <c r="A83" s="16">
        <f>IF(ISNUMBER(K83),MAX(A$11:A82)+1,"")</f>
        <v>48</v>
      </c>
      <c r="B83" s="16"/>
      <c r="C83" s="23" t="s">
        <v>175</v>
      </c>
      <c r="E83" s="19" t="s">
        <v>216</v>
      </c>
      <c r="G83" s="20">
        <f>-'Exh VII - Rev Crd'!K16</f>
        <v>0</v>
      </c>
      <c r="H83" s="20"/>
      <c r="I83" s="19" t="s">
        <v>397</v>
      </c>
      <c r="J83" s="236">
        <f>'Exh I - Allocators'!L$35</f>
        <v>0.14803764489174498</v>
      </c>
      <c r="K83" s="19">
        <f>G83*J83</f>
        <v>0</v>
      </c>
      <c r="M83" s="191" t="s">
        <v>398</v>
      </c>
      <c r="N83" s="144">
        <f>'Exh I - Allocators'!$L$36</f>
        <v>0.22663847043140981</v>
      </c>
      <c r="O83" s="19">
        <f t="shared" ref="O83:O84" si="0">N83*G83</f>
        <v>0</v>
      </c>
    </row>
    <row r="84" spans="1:15">
      <c r="A84" s="16">
        <f>IF(ISNUMBER(K84),MAX(A$11:A83)+1,"")</f>
        <v>49</v>
      </c>
      <c r="B84" s="16"/>
      <c r="C84" s="23" t="s">
        <v>182</v>
      </c>
      <c r="E84" s="19" t="s">
        <v>216</v>
      </c>
      <c r="G84" s="20">
        <f>-'Exh VII - Rev Crd'!L16</f>
        <v>0</v>
      </c>
      <c r="H84" s="20"/>
      <c r="I84" s="152" t="s">
        <v>132</v>
      </c>
      <c r="J84" s="235">
        <v>0</v>
      </c>
      <c r="K84" s="19">
        <f>G84*J84</f>
        <v>0</v>
      </c>
      <c r="M84" s="191" t="s">
        <v>132</v>
      </c>
      <c r="N84" s="213">
        <v>0</v>
      </c>
      <c r="O84" s="19">
        <f t="shared" si="0"/>
        <v>0</v>
      </c>
    </row>
    <row r="85" spans="1:15">
      <c r="A85" s="16">
        <f>IF(ISNUMBER(K85),MAX(A$11:A84)+1,"")</f>
        <v>50</v>
      </c>
      <c r="B85" s="16"/>
      <c r="C85" s="24" t="s">
        <v>235</v>
      </c>
      <c r="D85" s="4"/>
      <c r="E85" s="22" t="str">
        <f>"Sum of Lines "&amp;A80&amp;" - "&amp;A84</f>
        <v>Sum of Lines 45 - 49</v>
      </c>
      <c r="F85" s="4"/>
      <c r="G85" s="27">
        <f>SUM(G80:G84)</f>
        <v>-4383497.0600000005</v>
      </c>
      <c r="H85" s="26"/>
      <c r="I85" s="154"/>
      <c r="J85" s="241"/>
      <c r="K85" s="27">
        <f>SUM(K80:K84)</f>
        <v>0</v>
      </c>
      <c r="M85" s="200"/>
      <c r="N85" s="22"/>
      <c r="O85" s="27">
        <f>SUM(O80:O84)</f>
        <v>-4383497.0600000005</v>
      </c>
    </row>
    <row r="86" spans="1:15">
      <c r="A86" s="16" t="str">
        <f>IF(ISNUMBER(K86),MAX(A$11:A85)+1,"")</f>
        <v/>
      </c>
      <c r="B86" s="16"/>
      <c r="C86" s="1"/>
      <c r="D86" s="4"/>
      <c r="E86" s="22"/>
      <c r="F86" s="4"/>
      <c r="G86" s="22"/>
      <c r="H86" s="26"/>
      <c r="I86" s="154"/>
      <c r="J86" s="241"/>
      <c r="K86" s="22"/>
      <c r="M86" s="200"/>
      <c r="N86" s="22"/>
      <c r="O86" s="22"/>
    </row>
    <row r="87" spans="1:15">
      <c r="A87" s="16" t="str">
        <f>IF(ISNUMBER(K87),MAX(A$11:A86)+1,"")</f>
        <v/>
      </c>
      <c r="B87" s="16"/>
      <c r="C87" s="1" t="s">
        <v>236</v>
      </c>
      <c r="D87" s="4"/>
      <c r="E87" s="19"/>
      <c r="F87" s="4"/>
      <c r="G87" s="4"/>
      <c r="H87" s="26"/>
      <c r="I87" s="154"/>
      <c r="J87" s="16"/>
      <c r="K87" s="4"/>
      <c r="L87" s="4"/>
      <c r="M87" s="201"/>
      <c r="N87" s="4"/>
      <c r="O87" s="4"/>
    </row>
    <row r="88" spans="1:15">
      <c r="A88" s="16">
        <f>IF(ISNUMBER(K88),MAX(A$11:A87)+1,"")</f>
        <v>51</v>
      </c>
      <c r="B88" s="16"/>
      <c r="C88" s="18" t="s">
        <v>30</v>
      </c>
      <c r="D88" s="4"/>
      <c r="E88" s="19" t="s">
        <v>216</v>
      </c>
      <c r="F88" s="4"/>
      <c r="G88" s="22">
        <f>-'Exh VII - Rev Crd'!H23</f>
        <v>-414996</v>
      </c>
      <c r="H88" s="26"/>
      <c r="I88" s="154" t="s">
        <v>305</v>
      </c>
      <c r="J88" s="245">
        <v>1</v>
      </c>
      <c r="K88" s="19">
        <f>G88*J88</f>
        <v>-414996</v>
      </c>
      <c r="M88" s="191" t="s">
        <v>132</v>
      </c>
      <c r="N88" s="213">
        <v>0</v>
      </c>
      <c r="O88" s="19">
        <f>G88*N88</f>
        <v>0</v>
      </c>
    </row>
    <row r="89" spans="1:15">
      <c r="A89" s="16">
        <f>IF(ISNUMBER(K89),MAX(A$11:A88)+1,"")</f>
        <v>52</v>
      </c>
      <c r="B89" s="16"/>
      <c r="C89" s="18" t="s">
        <v>257</v>
      </c>
      <c r="D89" s="4"/>
      <c r="E89" s="19" t="s">
        <v>216</v>
      </c>
      <c r="F89" s="4"/>
      <c r="G89" s="22">
        <f>-'Exh VII - Rev Crd'!I23</f>
        <v>0</v>
      </c>
      <c r="H89" s="26"/>
      <c r="I89" s="152" t="s">
        <v>132</v>
      </c>
      <c r="J89" s="235">
        <v>0</v>
      </c>
      <c r="K89" s="19">
        <f>G89*J89</f>
        <v>0</v>
      </c>
      <c r="M89" s="199" t="s">
        <v>305</v>
      </c>
      <c r="N89" s="213">
        <v>1</v>
      </c>
      <c r="O89" s="19">
        <f>K89*N89</f>
        <v>0</v>
      </c>
    </row>
    <row r="90" spans="1:15">
      <c r="A90" s="16" t="str">
        <f>IF(ISNUMBER(K90),MAX(A$11:A89)+1,"")</f>
        <v/>
      </c>
      <c r="B90" s="16"/>
      <c r="C90" s="1"/>
      <c r="D90" s="4"/>
      <c r="E90" s="20"/>
      <c r="F90" s="4"/>
      <c r="G90" s="22"/>
      <c r="H90" s="26"/>
      <c r="I90" s="26"/>
      <c r="J90" s="241"/>
      <c r="K90" s="22"/>
      <c r="M90" s="198"/>
      <c r="N90" s="22"/>
      <c r="O90" s="22"/>
    </row>
    <row r="91" spans="1:15">
      <c r="A91" s="16">
        <f>IF(ISNUMBER(K91),MAX(A$11:A90)+1,"")</f>
        <v>53</v>
      </c>
      <c r="B91" s="16"/>
      <c r="C91" s="24" t="s">
        <v>27</v>
      </c>
      <c r="D91" s="4"/>
      <c r="E91" s="22" t="str">
        <f>"Sum of Lines "&amp;A85&amp;" - "&amp;A89</f>
        <v>Sum of Lines 50 - 52</v>
      </c>
      <c r="F91" s="4"/>
      <c r="G91" s="27">
        <f>G85+SUM(G88:G89)</f>
        <v>-4798493.0600000005</v>
      </c>
      <c r="H91" s="26"/>
      <c r="I91" s="26"/>
      <c r="J91" s="246"/>
      <c r="K91" s="27">
        <f>K85+SUM(K88:K89)</f>
        <v>-414996</v>
      </c>
      <c r="M91" s="198"/>
      <c r="N91" s="26"/>
      <c r="O91" s="27">
        <f>O85+SUM(O88:O89)</f>
        <v>-4383497.0600000005</v>
      </c>
    </row>
    <row r="92" spans="1:15">
      <c r="A92" s="16" t="str">
        <f>IF(ISNUMBER(K92),MAX(A$11:A91)+1,"")</f>
        <v/>
      </c>
      <c r="B92" s="16"/>
      <c r="C92" s="4"/>
      <c r="D92" s="4"/>
      <c r="E92" s="32"/>
      <c r="F92" s="4"/>
      <c r="G92" s="4"/>
      <c r="H92" s="32"/>
      <c r="I92" s="32"/>
      <c r="J92" s="16"/>
      <c r="K92" s="4"/>
      <c r="M92" s="202"/>
      <c r="N92" s="4"/>
      <c r="O92" s="4"/>
    </row>
    <row r="93" spans="1:15">
      <c r="A93" s="16" t="str">
        <f>IF(ISNUMBER(K93),MAX(A$11:A92)+1,"")</f>
        <v/>
      </c>
      <c r="B93" s="16"/>
      <c r="C93" s="15" t="s">
        <v>254</v>
      </c>
      <c r="D93" s="4"/>
      <c r="E93" s="32"/>
      <c r="F93" s="4"/>
      <c r="G93" s="4"/>
      <c r="H93" s="32"/>
      <c r="I93" s="32"/>
      <c r="J93" s="16"/>
      <c r="K93" s="4"/>
      <c r="M93" s="202"/>
      <c r="N93" s="4"/>
      <c r="O93" s="4"/>
    </row>
    <row r="94" spans="1:15">
      <c r="A94" s="16">
        <f>IF(ISNUMBER(K94),MAX(A$11:A93)+1,"")</f>
        <v>54</v>
      </c>
      <c r="B94" s="16"/>
      <c r="C94" s="84" t="s">
        <v>371</v>
      </c>
      <c r="D94" s="4"/>
      <c r="E94" s="22" t="str">
        <f>"Line "&amp;A76&amp;" + Line "&amp;A91</f>
        <v>Line 44 + Line 53</v>
      </c>
      <c r="F94" s="4"/>
      <c r="G94" s="34"/>
      <c r="H94" s="34"/>
      <c r="I94" s="34"/>
      <c r="J94" s="247"/>
      <c r="K94" s="107">
        <f>K76+K91</f>
        <v>33939464.239181481</v>
      </c>
      <c r="M94" s="203"/>
      <c r="N94" s="34"/>
      <c r="O94" s="107">
        <f>O76+O91</f>
        <v>68567956.455717728</v>
      </c>
    </row>
    <row r="95" spans="1:15">
      <c r="A95" s="16" t="str">
        <f>IF(ISNUMBER(K96),MAX(A$11:A94)+1,"")</f>
        <v/>
      </c>
      <c r="B95" s="16"/>
      <c r="C95" s="4"/>
      <c r="D95" s="4"/>
      <c r="E95" s="32"/>
      <c r="F95" s="4"/>
      <c r="G95" s="4"/>
      <c r="H95" s="4"/>
      <c r="I95" s="32"/>
      <c r="J95" s="16"/>
      <c r="K95" s="4"/>
      <c r="M95" s="202"/>
      <c r="N95" s="4"/>
      <c r="O95" s="4"/>
    </row>
    <row r="97" spans="1:14">
      <c r="A97" s="2"/>
      <c r="B97" s="2"/>
      <c r="M97" s="4"/>
      <c r="N97" s="4"/>
    </row>
    <row r="98" spans="1:14">
      <c r="A98" s="2"/>
      <c r="B98" s="2"/>
      <c r="M98" s="4"/>
      <c r="N98" s="4"/>
    </row>
    <row r="99" spans="1:14">
      <c r="A99" s="2"/>
      <c r="B99" s="2"/>
    </row>
    <row r="100" spans="1:14">
      <c r="A100" s="2"/>
      <c r="B100" s="2"/>
    </row>
    <row r="101" spans="1:14">
      <c r="A101" s="2"/>
      <c r="B101" s="2"/>
    </row>
    <row r="102" spans="1:14">
      <c r="A102" s="2"/>
      <c r="B102" s="2"/>
    </row>
  </sheetData>
  <mergeCells count="4">
    <mergeCell ref="I6:K6"/>
    <mergeCell ref="I8:J8"/>
    <mergeCell ref="M6:O6"/>
    <mergeCell ref="M8:N8"/>
  </mergeCells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52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9.140625" style="4" customWidth="1"/>
    <col min="2" max="2" width="1.7109375" style="4" customWidth="1"/>
    <col min="3" max="3" width="76.5703125" style="2" customWidth="1"/>
    <col min="4" max="4" width="2.7109375" style="3" customWidth="1"/>
    <col min="5" max="5" width="27.42578125" style="2" customWidth="1"/>
    <col min="6" max="6" width="1.7109375" style="2" customWidth="1"/>
    <col min="7" max="7" width="12.140625" style="2" bestFit="1" customWidth="1"/>
    <col min="8" max="8" width="13" style="2" bestFit="1" customWidth="1"/>
    <col min="9" max="9" width="6.28515625" style="2" bestFit="1" customWidth="1"/>
    <col min="10" max="10" width="14" style="2" bestFit="1" customWidth="1"/>
    <col min="11" max="11" width="12.5703125" style="127" bestFit="1" customWidth="1"/>
    <col min="12" max="12" width="23.85546875" style="2" bestFit="1" customWidth="1"/>
    <col min="13" max="13" width="1.7109375" style="3" customWidth="1"/>
    <col min="14" max="14" width="4.85546875" style="2" bestFit="1" customWidth="1"/>
    <col min="15" max="15" width="16.5703125" style="2" bestFit="1" customWidth="1"/>
    <col min="16" max="16" width="32.5703125" style="4" bestFit="1" customWidth="1"/>
    <col min="17" max="17" width="12.5703125" style="4" bestFit="1" customWidth="1"/>
    <col min="18" max="16384" width="9.140625" style="4"/>
  </cols>
  <sheetData>
    <row r="1" spans="1:14">
      <c r="A1" s="1" t="s">
        <v>0</v>
      </c>
      <c r="B1" s="1"/>
      <c r="N1" s="3"/>
    </row>
    <row r="2" spans="1:14">
      <c r="A2" s="1" t="str">
        <f>'Appendix B - COS'!A2</f>
        <v>Grant County Public Utility District</v>
      </c>
      <c r="B2" s="1"/>
      <c r="N2" s="3"/>
    </row>
    <row r="3" spans="1:14">
      <c r="A3" s="1" t="s">
        <v>40</v>
      </c>
      <c r="B3" s="1"/>
    </row>
    <row r="4" spans="1:14">
      <c r="A4" s="1" t="str">
        <f>'Appendix B - COS'!A4</f>
        <v>Fiscal Year Ending December 31, 2018</v>
      </c>
      <c r="B4" s="1"/>
    </row>
    <row r="5" spans="1:14">
      <c r="A5" s="1" t="str">
        <f>'Appendix B - COS'!A5</f>
        <v>Draft as of July 25, 2019</v>
      </c>
      <c r="B5" s="1"/>
    </row>
    <row r="7" spans="1:14">
      <c r="A7" s="6"/>
      <c r="B7" s="6"/>
      <c r="C7" s="5"/>
      <c r="E7" s="4"/>
      <c r="J7" s="4"/>
      <c r="K7" s="128"/>
      <c r="L7" s="4"/>
      <c r="N7" s="10"/>
    </row>
    <row r="8" spans="1:14">
      <c r="A8" s="9" t="s">
        <v>41</v>
      </c>
      <c r="B8" s="9"/>
      <c r="E8" s="7"/>
      <c r="G8" s="7" t="s">
        <v>33</v>
      </c>
      <c r="H8" s="113"/>
      <c r="K8" s="8" t="s">
        <v>36</v>
      </c>
      <c r="L8" s="8"/>
      <c r="M8" s="10"/>
      <c r="N8" s="10"/>
    </row>
    <row r="9" spans="1:14" ht="15.75" thickBot="1">
      <c r="A9" s="11" t="s">
        <v>1</v>
      </c>
      <c r="B9" s="12"/>
      <c r="C9" s="13"/>
      <c r="E9" s="14" t="s">
        <v>35</v>
      </c>
      <c r="G9" s="14" t="s">
        <v>34</v>
      </c>
      <c r="H9" s="120"/>
      <c r="K9" s="14" t="s">
        <v>37</v>
      </c>
      <c r="L9" s="14" t="s">
        <v>38</v>
      </c>
      <c r="M9" s="10"/>
      <c r="N9" s="10"/>
    </row>
    <row r="10" spans="1:14">
      <c r="C10" s="7" t="s">
        <v>2</v>
      </c>
      <c r="E10" s="7" t="s">
        <v>3</v>
      </c>
      <c r="F10" s="10"/>
      <c r="G10" s="7" t="s">
        <v>4</v>
      </c>
      <c r="H10" s="113"/>
      <c r="I10" s="10"/>
      <c r="K10" s="113" t="s">
        <v>5</v>
      </c>
      <c r="L10" s="7" t="s">
        <v>6</v>
      </c>
      <c r="M10" s="4"/>
      <c r="N10" s="10"/>
    </row>
    <row r="11" spans="1:14">
      <c r="E11" s="7"/>
      <c r="J11" s="7"/>
      <c r="K11" s="185"/>
      <c r="L11" s="7"/>
      <c r="M11" s="10"/>
    </row>
    <row r="12" spans="1:14">
      <c r="C12" s="249" t="s">
        <v>134</v>
      </c>
      <c r="D12" s="64"/>
      <c r="E12" s="35"/>
      <c r="F12" s="35"/>
      <c r="G12" s="35"/>
      <c r="H12" s="35"/>
      <c r="I12" s="35"/>
      <c r="J12" s="35"/>
      <c r="K12" s="43"/>
      <c r="L12" s="35"/>
      <c r="M12" s="36"/>
      <c r="N12" s="36"/>
    </row>
    <row r="13" spans="1:14">
      <c r="A13" s="16">
        <f>IF(ISNUMBER(L13),MAX(A$11:A12)+1,"")</f>
        <v>1</v>
      </c>
      <c r="B13" s="16"/>
      <c r="C13" s="157" t="s">
        <v>138</v>
      </c>
      <c r="D13" s="64"/>
      <c r="E13" s="36" t="str">
        <f>"Appendix B - Line "&amp;'Appendix B - COS'!A15</f>
        <v>Appendix B - Line 2</v>
      </c>
      <c r="F13" s="36"/>
      <c r="G13" s="36"/>
      <c r="H13" s="36"/>
      <c r="I13" s="36"/>
      <c r="J13" s="36"/>
      <c r="K13" s="36"/>
      <c r="L13" s="159">
        <f>'Appendix B - COS'!G15</f>
        <v>253029067.66999999</v>
      </c>
      <c r="M13" s="36"/>
      <c r="N13" s="36"/>
    </row>
    <row r="14" spans="1:14">
      <c r="A14" s="16">
        <f>IF(ISNUMBER(L14),MAX(A$11:A13)+1,"")</f>
        <v>2</v>
      </c>
      <c r="B14" s="16"/>
      <c r="C14" s="157" t="s">
        <v>417</v>
      </c>
      <c r="D14" s="65"/>
      <c r="E14" s="38" t="s">
        <v>98</v>
      </c>
      <c r="F14" s="38"/>
      <c r="G14" s="38"/>
      <c r="H14" s="38"/>
      <c r="I14" s="38"/>
      <c r="J14" s="38"/>
      <c r="K14" s="38"/>
      <c r="L14" s="215">
        <v>0</v>
      </c>
      <c r="M14" s="36"/>
      <c r="N14" s="36"/>
    </row>
    <row r="15" spans="1:14">
      <c r="A15" s="16">
        <f>IF(ISNUMBER(L15),MAX(A$11:A14)+1,"")</f>
        <v>3</v>
      </c>
      <c r="B15" s="16"/>
      <c r="C15" s="161" t="s">
        <v>418</v>
      </c>
      <c r="D15" s="158"/>
      <c r="E15" s="255" t="s">
        <v>99</v>
      </c>
      <c r="F15" s="36"/>
      <c r="G15" s="36"/>
      <c r="H15" s="36"/>
      <c r="I15" s="36"/>
      <c r="J15" s="36"/>
      <c r="K15" s="36"/>
      <c r="L15" s="216">
        <v>0</v>
      </c>
      <c r="M15" s="36"/>
      <c r="N15" s="36"/>
    </row>
    <row r="16" spans="1:14">
      <c r="A16" s="16">
        <f>IF(ISNUMBER(L16),MAX(A$11:A15)+1,"")</f>
        <v>4</v>
      </c>
      <c r="B16" s="16"/>
      <c r="C16" s="162" t="s">
        <v>100</v>
      </c>
      <c r="D16" s="64"/>
      <c r="E16" s="36" t="s">
        <v>260</v>
      </c>
      <c r="F16" s="36"/>
      <c r="G16" s="36"/>
      <c r="H16" s="36"/>
      <c r="I16" s="36"/>
      <c r="J16" s="36"/>
      <c r="K16" s="36"/>
      <c r="L16" s="37">
        <f>L13-L14-L15</f>
        <v>253029067.66999999</v>
      </c>
      <c r="M16" s="36"/>
      <c r="N16" s="36"/>
    </row>
    <row r="17" spans="1:14">
      <c r="A17" s="16">
        <f>IF(ISNUMBER(L17),MAX(A$11:A16)+1,"")</f>
        <v>5</v>
      </c>
      <c r="B17" s="16"/>
      <c r="C17" s="162" t="s">
        <v>445</v>
      </c>
      <c r="D17" s="66"/>
      <c r="E17" s="36" t="str">
        <f>"Line "&amp;A13&amp;" / Line "&amp;A16</f>
        <v>Line 1 / Line 4</v>
      </c>
      <c r="F17" s="41"/>
      <c r="G17" s="41"/>
      <c r="H17" s="41"/>
      <c r="I17" s="41"/>
      <c r="J17" s="41"/>
      <c r="K17" s="251" t="s">
        <v>447</v>
      </c>
      <c r="L17" s="71">
        <f>IF(L13&gt;0,L16/L13,0)</f>
        <v>1</v>
      </c>
      <c r="M17" s="36"/>
      <c r="N17" s="36"/>
    </row>
    <row r="18" spans="1:14">
      <c r="A18" s="16" t="str">
        <f>IF(ISNUMBER(L18),MAX(A$11:A17)+1,"")</f>
        <v/>
      </c>
      <c r="B18" s="16"/>
      <c r="C18" s="157"/>
      <c r="D18" s="66"/>
      <c r="E18" s="41"/>
      <c r="F18" s="41"/>
      <c r="G18" s="41"/>
      <c r="H18" s="41"/>
      <c r="I18" s="41"/>
      <c r="J18" s="41"/>
      <c r="K18" s="251"/>
      <c r="L18" s="42"/>
      <c r="M18" s="36"/>
      <c r="N18" s="36"/>
    </row>
    <row r="19" spans="1:14">
      <c r="A19" s="16" t="str">
        <f>IF(ISNUMBER(L19),MAX(A$11:A18)+1,"")</f>
        <v/>
      </c>
      <c r="B19" s="16"/>
      <c r="C19" s="249" t="s">
        <v>401</v>
      </c>
      <c r="D19" s="64"/>
      <c r="E19" s="36"/>
      <c r="F19" s="36"/>
      <c r="G19" s="36"/>
      <c r="H19" s="36"/>
      <c r="I19" s="36"/>
      <c r="J19" s="36"/>
      <c r="K19" s="251"/>
      <c r="L19" s="38"/>
      <c r="M19" s="38"/>
      <c r="N19" s="38"/>
    </row>
    <row r="20" spans="1:14">
      <c r="A20" s="16">
        <f>IF(ISNUMBER(L20),MAX(A$11:A19)+1,"")</f>
        <v>6</v>
      </c>
      <c r="B20" s="16"/>
      <c r="C20" s="250" t="s">
        <v>291</v>
      </c>
      <c r="D20" s="64"/>
      <c r="E20" s="36" t="s">
        <v>296</v>
      </c>
      <c r="F20" s="36"/>
      <c r="G20" s="36"/>
      <c r="H20" s="36"/>
      <c r="I20" s="36"/>
      <c r="J20" s="36"/>
      <c r="K20" s="251"/>
      <c r="L20" s="126">
        <f>SUM('Exh II - Plant Data'!H45:H48)</f>
        <v>270259292.02000004</v>
      </c>
      <c r="M20" s="38"/>
      <c r="N20" s="38"/>
    </row>
    <row r="21" spans="1:14">
      <c r="A21" s="16">
        <f>IF(ISNUMBER(L21),MAX(A$11:A20)+1,"")</f>
        <v>7</v>
      </c>
      <c r="B21" s="16"/>
      <c r="C21" s="250" t="s">
        <v>292</v>
      </c>
      <c r="D21" s="64"/>
      <c r="E21" s="36" t="s">
        <v>296</v>
      </c>
      <c r="F21" s="36"/>
      <c r="G21" s="36"/>
      <c r="H21" s="36"/>
      <c r="I21" s="36"/>
      <c r="J21" s="36"/>
      <c r="K21" s="251"/>
      <c r="L21" s="126">
        <f>L20+SUM('Exh II - Plant Data'!H52:H55)</f>
        <v>397346387.43000007</v>
      </c>
      <c r="M21" s="38"/>
      <c r="N21" s="38"/>
    </row>
    <row r="22" spans="1:14">
      <c r="A22" s="16">
        <f>IF(ISNUMBER(L22),MAX(A$11:A21)+1,"")</f>
        <v>8</v>
      </c>
      <c r="B22" s="16"/>
      <c r="C22" s="250" t="s">
        <v>402</v>
      </c>
      <c r="D22" s="64"/>
      <c r="E22" s="125" t="str">
        <f>"Line "&amp;A20&amp;" / Line "&amp;A21</f>
        <v>Line 6 / Line 7</v>
      </c>
      <c r="F22" s="36"/>
      <c r="G22" s="36"/>
      <c r="H22" s="36"/>
      <c r="I22" s="36"/>
      <c r="J22" s="36"/>
      <c r="K22" s="251" t="s">
        <v>448</v>
      </c>
      <c r="L22" s="72">
        <f>L20/L21</f>
        <v>0.68016043575483931</v>
      </c>
      <c r="M22" s="38"/>
      <c r="N22" s="38"/>
    </row>
    <row r="23" spans="1:14">
      <c r="A23" s="16" t="str">
        <f>IF(ISNUMBER(L23),MAX(A$11:A22)+1,"")</f>
        <v/>
      </c>
      <c r="B23" s="16"/>
      <c r="C23" s="157"/>
      <c r="D23" s="66"/>
      <c r="E23" s="256"/>
      <c r="F23" s="41"/>
      <c r="G23" s="41"/>
      <c r="H23" s="41"/>
      <c r="I23" s="41"/>
      <c r="J23" s="41"/>
      <c r="K23" s="251"/>
      <c r="L23" s="42"/>
      <c r="M23" s="36"/>
      <c r="N23" s="36"/>
    </row>
    <row r="24" spans="1:14">
      <c r="A24" s="16" t="str">
        <f>IF(ISNUMBER(L24),MAX(A$11:A23)+1,"")</f>
        <v/>
      </c>
      <c r="C24" s="249" t="s">
        <v>267</v>
      </c>
      <c r="D24" s="64"/>
      <c r="E24" s="257"/>
      <c r="F24" s="35"/>
      <c r="G24" s="35"/>
      <c r="H24" s="35"/>
      <c r="I24" s="35"/>
      <c r="J24" s="35"/>
      <c r="K24" s="252"/>
      <c r="L24" s="35"/>
      <c r="M24" s="36"/>
      <c r="N24" s="38"/>
    </row>
    <row r="25" spans="1:14">
      <c r="A25" s="16">
        <f>IF(ISNUMBER(L25),MAX(A$11:A24)+1,"")</f>
        <v>9</v>
      </c>
      <c r="B25" s="16"/>
      <c r="C25" s="157" t="s">
        <v>268</v>
      </c>
      <c r="D25" s="158"/>
      <c r="E25" s="125" t="str">
        <f>"Appendix B - Line "&amp;'Appendix B - COS'!A16</f>
        <v>Appendix B - Line 3</v>
      </c>
      <c r="F25" s="125"/>
      <c r="G25" s="125"/>
      <c r="H25" s="125"/>
      <c r="I25" s="125"/>
      <c r="J25" s="125"/>
      <c r="K25" s="125"/>
      <c r="L25" s="159">
        <f>'Appendix B - COS'!G16</f>
        <v>609096159.01999998</v>
      </c>
      <c r="M25" s="36"/>
      <c r="N25" s="38"/>
    </row>
    <row r="26" spans="1:14">
      <c r="A26" s="16">
        <f>IF(ISNUMBER(L26),MAX(A$11:A25)+1,"")</f>
        <v>10</v>
      </c>
      <c r="B26" s="16"/>
      <c r="C26" s="157" t="s">
        <v>419</v>
      </c>
      <c r="D26" s="158"/>
      <c r="E26" s="160" t="str">
        <f>"Line "&amp;A14</f>
        <v>Line 2</v>
      </c>
      <c r="F26" s="125"/>
      <c r="G26" s="125"/>
      <c r="H26" s="125"/>
      <c r="I26" s="125"/>
      <c r="J26" s="125"/>
      <c r="K26" s="125"/>
      <c r="L26" s="159">
        <f>-L14</f>
        <v>0</v>
      </c>
      <c r="M26" s="36"/>
      <c r="N26" s="38"/>
    </row>
    <row r="27" spans="1:14">
      <c r="A27" s="16">
        <f>IF(ISNUMBER(L27),MAX(A$11:A26)+1,"")</f>
        <v>11</v>
      </c>
      <c r="B27" s="16"/>
      <c r="C27" s="161" t="s">
        <v>420</v>
      </c>
      <c r="D27" s="158"/>
      <c r="E27" s="255" t="s">
        <v>99</v>
      </c>
      <c r="F27" s="36"/>
      <c r="G27" s="36"/>
      <c r="H27" s="36"/>
      <c r="I27" s="36"/>
      <c r="J27" s="36"/>
      <c r="K27" s="125"/>
      <c r="L27" s="216">
        <v>0</v>
      </c>
      <c r="M27" s="36"/>
      <c r="N27" s="38"/>
    </row>
    <row r="28" spans="1:14">
      <c r="A28" s="16">
        <f>IF(ISNUMBER(L28),MAX(A$11:A27)+1,"")</f>
        <v>12</v>
      </c>
      <c r="B28" s="16"/>
      <c r="C28" s="162" t="s">
        <v>307</v>
      </c>
      <c r="D28" s="64"/>
      <c r="E28" s="125" t="s">
        <v>260</v>
      </c>
      <c r="F28" s="36"/>
      <c r="G28" s="36"/>
      <c r="H28" s="36"/>
      <c r="I28" s="36"/>
      <c r="J28" s="36"/>
      <c r="K28" s="125"/>
      <c r="L28" s="37">
        <f>L25-L27</f>
        <v>609096159.01999998</v>
      </c>
      <c r="M28" s="36"/>
      <c r="N28" s="38"/>
    </row>
    <row r="29" spans="1:14">
      <c r="A29" s="16">
        <f>IF(ISNUMBER(L29),MAX(A$11:A28)+1,"")</f>
        <v>13</v>
      </c>
      <c r="B29" s="16"/>
      <c r="C29" s="162" t="s">
        <v>269</v>
      </c>
      <c r="D29" s="66"/>
      <c r="E29" s="125" t="str">
        <f>"Line "&amp;A25&amp;" / Line "&amp;A28</f>
        <v>Line 9 / Line 12</v>
      </c>
      <c r="F29" s="41"/>
      <c r="G29" s="41"/>
      <c r="H29" s="41"/>
      <c r="I29" s="41"/>
      <c r="J29" s="41"/>
      <c r="K29" s="251" t="s">
        <v>270</v>
      </c>
      <c r="L29" s="163">
        <f>IF(L25&gt;0,L28/L25,0)</f>
        <v>1</v>
      </c>
      <c r="M29" s="36"/>
      <c r="N29" s="38"/>
    </row>
    <row r="30" spans="1:14">
      <c r="A30" s="16" t="str">
        <f>IF(ISNUMBER(L30),MAX(A$11:A29)+1,"")</f>
        <v/>
      </c>
      <c r="B30" s="16"/>
      <c r="C30" s="157"/>
      <c r="D30" s="66"/>
      <c r="E30" s="256"/>
      <c r="F30" s="41"/>
      <c r="G30" s="41"/>
      <c r="H30" s="41"/>
      <c r="I30" s="41"/>
      <c r="J30" s="41"/>
      <c r="K30" s="251"/>
      <c r="L30" s="42"/>
      <c r="M30" s="36"/>
      <c r="N30" s="38"/>
    </row>
    <row r="31" spans="1:14">
      <c r="A31" s="16">
        <f>IF(ISNUMBER(L31),MAX(A$11:A30)+1,"")</f>
        <v>14</v>
      </c>
      <c r="B31" s="16"/>
      <c r="C31" s="157" t="s">
        <v>450</v>
      </c>
      <c r="D31" s="66"/>
      <c r="E31" s="125" t="str">
        <f>"Line "&amp;A22&amp;" * Line "&amp;A29</f>
        <v>Line 8 * Line 13</v>
      </c>
      <c r="F31" s="41"/>
      <c r="G31" s="41"/>
      <c r="H31" s="41"/>
      <c r="I31" s="41"/>
      <c r="J31" s="41"/>
      <c r="K31" s="251" t="s">
        <v>446</v>
      </c>
      <c r="L31" s="71">
        <f>L22*L29</f>
        <v>0.68016043575483931</v>
      </c>
      <c r="M31" s="36"/>
      <c r="N31" s="36"/>
    </row>
    <row r="32" spans="1:14">
      <c r="A32" s="16"/>
      <c r="B32" s="16"/>
      <c r="C32" s="157"/>
      <c r="D32" s="66"/>
      <c r="E32" s="256"/>
      <c r="F32" s="41"/>
      <c r="G32" s="41"/>
      <c r="H32" s="41"/>
      <c r="I32" s="41"/>
      <c r="J32" s="41"/>
      <c r="K32" s="251"/>
      <c r="L32" s="42"/>
      <c r="M32" s="36"/>
      <c r="N32" s="38"/>
    </row>
    <row r="33" spans="1:14" ht="15.75" thickBot="1">
      <c r="A33" s="16" t="str">
        <f>IF(ISNUMBER(L33),MAX(A$11:A30)+1,"")</f>
        <v/>
      </c>
      <c r="B33" s="16"/>
      <c r="C33" s="249" t="s">
        <v>135</v>
      </c>
      <c r="D33" s="40"/>
      <c r="E33" s="4"/>
      <c r="G33" s="44" t="s">
        <v>42</v>
      </c>
      <c r="H33" s="44" t="s">
        <v>36</v>
      </c>
      <c r="I33" s="44"/>
      <c r="J33" s="44" t="s">
        <v>261</v>
      </c>
      <c r="K33" s="36"/>
      <c r="L33" s="45" t="s">
        <v>44</v>
      </c>
      <c r="M33" s="38"/>
      <c r="N33" s="38"/>
    </row>
    <row r="34" spans="1:14">
      <c r="A34" s="16">
        <f>IF(ISNUMBER(L34),MAX(A$11:A33)+1,"")</f>
        <v>15</v>
      </c>
      <c r="B34" s="16"/>
      <c r="C34" s="157" t="s">
        <v>298</v>
      </c>
      <c r="D34" s="40"/>
      <c r="E34" s="4" t="s">
        <v>306</v>
      </c>
      <c r="G34" s="39">
        <v>21922194.550000835</v>
      </c>
      <c r="H34" s="248" t="s">
        <v>297</v>
      </c>
      <c r="I34" s="208">
        <v>1</v>
      </c>
      <c r="J34" s="129">
        <f>G34*I34</f>
        <v>21922194.550000835</v>
      </c>
      <c r="K34" s="36"/>
      <c r="L34" s="72">
        <f>IF(J34&gt;0,J34/G38,0)</f>
        <v>0.51302686091922756</v>
      </c>
      <c r="M34" s="36"/>
      <c r="N34" s="36"/>
    </row>
    <row r="35" spans="1:14">
      <c r="A35" s="16">
        <f>IF(ISNUMBER(L35),MAX(A$11:A34)+1,"")</f>
        <v>16</v>
      </c>
      <c r="B35" s="16"/>
      <c r="C35" s="67" t="s">
        <v>30</v>
      </c>
      <c r="D35" s="40"/>
      <c r="E35" s="4" t="s">
        <v>306</v>
      </c>
      <c r="G35" s="39">
        <v>6325809.2299999902</v>
      </c>
      <c r="H35" s="248" t="s">
        <v>297</v>
      </c>
      <c r="I35" s="208">
        <v>1</v>
      </c>
      <c r="J35" s="129">
        <f>G35*I35</f>
        <v>6325809.2299999902</v>
      </c>
      <c r="K35" s="186" t="s">
        <v>395</v>
      </c>
      <c r="L35" s="72">
        <f>IF(J35&gt;0,J35/G38,0)</f>
        <v>0.14803764489174498</v>
      </c>
      <c r="M35" s="36"/>
      <c r="N35" s="36"/>
    </row>
    <row r="36" spans="1:14">
      <c r="A36" s="16">
        <f>IF(ISNUMBER(L36),MAX(A$11:A35)+1,"")</f>
        <v>17</v>
      </c>
      <c r="B36" s="16"/>
      <c r="C36" s="67" t="s">
        <v>257</v>
      </c>
      <c r="D36" s="40"/>
      <c r="E36" s="4" t="s">
        <v>306</v>
      </c>
      <c r="G36" s="39">
        <v>9684507.809999872</v>
      </c>
      <c r="H36" s="248" t="s">
        <v>297</v>
      </c>
      <c r="I36" s="208">
        <v>1</v>
      </c>
      <c r="J36" s="129">
        <f>G36*I36</f>
        <v>9684507.809999872</v>
      </c>
      <c r="K36" s="186" t="s">
        <v>396</v>
      </c>
      <c r="L36" s="72">
        <f>IF(J36&gt;0,J36/G38,0)</f>
        <v>0.22663847043140981</v>
      </c>
      <c r="M36" s="36"/>
      <c r="N36" s="36"/>
    </row>
    <row r="37" spans="1:14" ht="15.75" thickBot="1">
      <c r="A37" s="16">
        <f>IF(ISNUMBER(L37),MAX(A$11:A36)+1,"")</f>
        <v>18</v>
      </c>
      <c r="B37" s="16"/>
      <c r="C37" s="67" t="s">
        <v>299</v>
      </c>
      <c r="D37" s="40"/>
      <c r="E37" s="4" t="s">
        <v>306</v>
      </c>
      <c r="G37" s="39">
        <v>4798573.6999999927</v>
      </c>
      <c r="H37" s="248" t="s">
        <v>297</v>
      </c>
      <c r="I37" s="208">
        <v>1</v>
      </c>
      <c r="J37" s="130">
        <f>G37*I37</f>
        <v>4798573.6999999927</v>
      </c>
      <c r="K37" s="36"/>
      <c r="L37" s="72">
        <f>IF(J37&gt;0,J37/G38,0)</f>
        <v>0.11229702375761763</v>
      </c>
      <c r="M37" s="36"/>
      <c r="N37" s="36"/>
    </row>
    <row r="38" spans="1:14">
      <c r="A38" s="16">
        <f>IF(ISNUMBER(L38),MAX(A$11:A37)+1,"")</f>
        <v>19</v>
      </c>
      <c r="B38" s="16"/>
      <c r="C38" s="69" t="s">
        <v>33</v>
      </c>
      <c r="D38" s="40"/>
      <c r="E38" s="4" t="str">
        <f>"Sum of Lines "&amp;A34&amp;" - "&amp;A37</f>
        <v>Sum of Lines 15 - 18</v>
      </c>
      <c r="G38" s="209">
        <f>SUM(G34:G37)</f>
        <v>42731085.290000692</v>
      </c>
      <c r="H38" s="37"/>
      <c r="I38" s="36"/>
      <c r="J38" s="37">
        <f>SUM(J34:J37)</f>
        <v>42731085.290000692</v>
      </c>
      <c r="K38" s="43"/>
      <c r="L38" s="28">
        <f>SUM(L34:L37)</f>
        <v>1</v>
      </c>
      <c r="M38" s="4"/>
      <c r="N38" s="4"/>
    </row>
    <row r="39" spans="1:14">
      <c r="A39" s="16" t="str">
        <f>IF(ISNUMBER(L39),MAX(A$11:A38)+1,"")</f>
        <v/>
      </c>
      <c r="B39" s="16"/>
      <c r="C39" s="43" t="s">
        <v>45</v>
      </c>
      <c r="D39" s="40" t="s">
        <v>45</v>
      </c>
      <c r="E39" s="258"/>
      <c r="F39" s="36"/>
      <c r="G39" s="36"/>
      <c r="H39" s="36"/>
      <c r="I39" s="36"/>
      <c r="J39" s="36"/>
      <c r="K39" s="38"/>
      <c r="L39" s="38"/>
      <c r="M39" s="38"/>
      <c r="N39" s="38"/>
    </row>
    <row r="40" spans="1:14">
      <c r="A40" s="16">
        <f>IF(ISNUMBER(L40),MAX(A$11:A39)+1,"")</f>
        <v>20</v>
      </c>
      <c r="B40" s="16"/>
      <c r="C40" s="68" t="s">
        <v>440</v>
      </c>
      <c r="D40" s="40"/>
      <c r="E40" s="258"/>
      <c r="F40" s="36"/>
      <c r="G40" s="36"/>
      <c r="H40" s="36"/>
      <c r="I40" s="36"/>
      <c r="J40" s="36"/>
      <c r="K40" s="187" t="s">
        <v>346</v>
      </c>
      <c r="L40" s="217">
        <v>0</v>
      </c>
      <c r="M40" s="38"/>
      <c r="N40" s="38"/>
    </row>
    <row r="41" spans="1:14">
      <c r="A41" s="16" t="str">
        <f>IF(ISNUMBER(L41),MAX(A$11:A40)+1,"")</f>
        <v/>
      </c>
      <c r="B41" s="16"/>
      <c r="C41" s="43"/>
      <c r="D41" s="40"/>
      <c r="E41" s="258"/>
      <c r="F41" s="36"/>
      <c r="G41" s="36"/>
      <c r="H41" s="36"/>
      <c r="I41" s="36"/>
      <c r="J41" s="36"/>
      <c r="K41" s="38"/>
      <c r="L41" s="38"/>
      <c r="M41" s="38"/>
      <c r="N41" s="38"/>
    </row>
    <row r="42" spans="1:14">
      <c r="A42" s="9" t="s">
        <v>102</v>
      </c>
      <c r="E42" s="4"/>
    </row>
    <row r="43" spans="1:14">
      <c r="A43" s="9" t="s">
        <v>103</v>
      </c>
      <c r="C43" s="2" t="s">
        <v>104</v>
      </c>
      <c r="E43" s="4"/>
    </row>
    <row r="44" spans="1:14">
      <c r="C44" s="2" t="s">
        <v>101</v>
      </c>
      <c r="E44" s="4"/>
    </row>
    <row r="45" spans="1:14">
      <c r="E45" s="4"/>
    </row>
    <row r="46" spans="1:14">
      <c r="A46" s="9" t="s">
        <v>105</v>
      </c>
      <c r="C46" s="4" t="s">
        <v>453</v>
      </c>
      <c r="D46" s="32"/>
      <c r="E46" s="4"/>
      <c r="F46" s="4"/>
      <c r="G46" s="4"/>
      <c r="H46" s="4"/>
      <c r="I46" s="4"/>
      <c r="J46" s="4"/>
    </row>
    <row r="47" spans="1:14">
      <c r="B47" s="2"/>
      <c r="D47" s="2"/>
      <c r="E47" s="4"/>
    </row>
    <row r="48" spans="1:14">
      <c r="B48" s="2"/>
      <c r="D48" s="2"/>
      <c r="E48" s="4"/>
    </row>
    <row r="49" spans="1:5">
      <c r="E49" s="4"/>
    </row>
    <row r="52" spans="1:5">
      <c r="A52" s="2"/>
      <c r="B52" s="2"/>
      <c r="D52" s="2"/>
    </row>
  </sheetData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  <ignoredErrors>
    <ignoredError sqref="E26 E13 E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29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8.42578125" style="46" customWidth="1"/>
    <col min="2" max="2" width="1.7109375" style="46" customWidth="1"/>
    <col min="3" max="3" width="9.140625" style="46"/>
    <col min="4" max="4" width="36.85546875" style="46" bestFit="1" customWidth="1"/>
    <col min="5" max="5" width="4.5703125" style="46" customWidth="1"/>
    <col min="6" max="6" width="42.28515625" style="46" bestFit="1" customWidth="1"/>
    <col min="7" max="7" width="4.7109375" style="47" customWidth="1"/>
    <col min="8" max="8" width="16.42578125" style="46" bestFit="1" customWidth="1"/>
    <col min="9" max="9" width="17.42578125" style="46" customWidth="1"/>
    <col min="10" max="10" width="16.42578125" style="46" bestFit="1" customWidth="1"/>
    <col min="11" max="11" width="3.5703125" style="46" customWidth="1"/>
    <col min="12" max="12" width="16.7109375" style="46" customWidth="1"/>
    <col min="13" max="13" width="3.28515625" style="46" customWidth="1"/>
    <col min="14" max="14" width="23.42578125" style="46" customWidth="1"/>
    <col min="15" max="15" width="13" style="57" bestFit="1" customWidth="1"/>
    <col min="16" max="16" width="15.42578125" style="112" customWidth="1"/>
    <col min="17" max="16384" width="9.140625" style="46"/>
  </cols>
  <sheetData>
    <row r="1" spans="1:16">
      <c r="A1" s="1" t="s">
        <v>89</v>
      </c>
      <c r="B1" s="1"/>
    </row>
    <row r="2" spans="1:16">
      <c r="A2" s="1" t="str">
        <f>'Appendix B - COS'!$A$2</f>
        <v>Grant County Public Utility District</v>
      </c>
      <c r="B2" s="1"/>
    </row>
    <row r="3" spans="1:16">
      <c r="A3" s="1" t="s">
        <v>90</v>
      </c>
      <c r="B3" s="1"/>
    </row>
    <row r="4" spans="1:16">
      <c r="A4" s="1" t="str">
        <f>'Appendix B - COS'!$A$4</f>
        <v>Fiscal Year Ending December 31, 2018</v>
      </c>
      <c r="B4" s="1"/>
    </row>
    <row r="5" spans="1:16">
      <c r="A5" s="1" t="str">
        <f>'Appendix B - COS'!$A$5</f>
        <v>Draft as of July 25, 2019</v>
      </c>
      <c r="B5" s="1"/>
    </row>
    <row r="6" spans="1:16">
      <c r="A6" s="1"/>
      <c r="B6" s="1"/>
    </row>
    <row r="7" spans="1:16" ht="39" customHeight="1">
      <c r="A7" s="4"/>
      <c r="B7" s="4"/>
      <c r="C7" s="48"/>
      <c r="D7" s="48"/>
      <c r="E7" s="48"/>
      <c r="F7" s="48"/>
      <c r="G7" s="49"/>
      <c r="H7" s="262"/>
      <c r="I7" s="262"/>
      <c r="J7" s="262"/>
      <c r="K7" s="262"/>
      <c r="L7" s="262"/>
      <c r="M7" s="48" t="s">
        <v>45</v>
      </c>
      <c r="N7" s="263" t="s">
        <v>452</v>
      </c>
      <c r="O7" s="263"/>
      <c r="P7" s="263"/>
    </row>
    <row r="8" spans="1:16" ht="14.45" customHeight="1">
      <c r="A8" s="9" t="s">
        <v>41</v>
      </c>
      <c r="B8" s="9"/>
      <c r="C8" s="50" t="s">
        <v>87</v>
      </c>
      <c r="D8" s="50"/>
      <c r="E8" s="50"/>
      <c r="F8" s="50"/>
      <c r="G8" s="51"/>
      <c r="H8" s="50" t="s">
        <v>48</v>
      </c>
      <c r="I8" s="50" t="s">
        <v>49</v>
      </c>
      <c r="J8" s="50"/>
      <c r="K8" s="50"/>
      <c r="L8" s="50" t="s">
        <v>50</v>
      </c>
      <c r="M8" s="48"/>
      <c r="N8" s="48"/>
      <c r="O8" s="50" t="s">
        <v>279</v>
      </c>
      <c r="P8" s="50" t="s">
        <v>48</v>
      </c>
    </row>
    <row r="9" spans="1:16" ht="15.75" thickBot="1">
      <c r="A9" s="11" t="s">
        <v>1</v>
      </c>
      <c r="B9" s="12"/>
      <c r="C9" s="52" t="s">
        <v>88</v>
      </c>
      <c r="D9" s="52" t="s">
        <v>46</v>
      </c>
      <c r="E9" s="50"/>
      <c r="F9" s="52" t="s">
        <v>47</v>
      </c>
      <c r="G9" s="51"/>
      <c r="H9" s="52" t="s">
        <v>91</v>
      </c>
      <c r="I9" s="52" t="s">
        <v>50</v>
      </c>
      <c r="J9" s="52" t="s">
        <v>51</v>
      </c>
      <c r="K9" s="50"/>
      <c r="L9" s="52" t="s">
        <v>52</v>
      </c>
      <c r="M9" s="48"/>
      <c r="N9" s="52" t="s">
        <v>124</v>
      </c>
      <c r="O9" s="52" t="s">
        <v>43</v>
      </c>
      <c r="P9" s="52" t="s">
        <v>400</v>
      </c>
    </row>
    <row r="10" spans="1:16">
      <c r="A10" s="4"/>
      <c r="B10" s="4"/>
      <c r="C10" s="7" t="s">
        <v>2</v>
      </c>
      <c r="D10" s="7" t="s">
        <v>3</v>
      </c>
      <c r="F10" s="7" t="s">
        <v>4</v>
      </c>
      <c r="G10" s="46"/>
      <c r="H10" s="7" t="s">
        <v>5</v>
      </c>
      <c r="I10" s="7" t="s">
        <v>6</v>
      </c>
      <c r="J10" s="7" t="s">
        <v>7</v>
      </c>
      <c r="L10" s="7" t="s">
        <v>106</v>
      </c>
      <c r="N10" s="113" t="s">
        <v>107</v>
      </c>
      <c r="O10" s="50" t="s">
        <v>181</v>
      </c>
      <c r="P10" s="81" t="s">
        <v>212</v>
      </c>
    </row>
    <row r="11" spans="1:16">
      <c r="J11" s="57"/>
    </row>
    <row r="12" spans="1:16">
      <c r="H12" s="110"/>
      <c r="I12" s="110"/>
      <c r="J12" s="142"/>
      <c r="K12" s="110"/>
      <c r="L12" s="110"/>
      <c r="M12" s="110"/>
      <c r="N12" s="110"/>
      <c r="O12" s="142"/>
    </row>
    <row r="13" spans="1:16">
      <c r="D13" s="48" t="s">
        <v>12</v>
      </c>
      <c r="H13" s="137"/>
      <c r="I13" s="137"/>
      <c r="J13" s="137"/>
      <c r="K13" s="137"/>
      <c r="L13" s="137"/>
      <c r="M13" s="110"/>
      <c r="N13" s="142"/>
      <c r="O13" s="142"/>
    </row>
    <row r="14" spans="1:16">
      <c r="A14" s="16">
        <f>IF(ISNUMBER(H14),MAX(A$11:A13)+1,"")</f>
        <v>1</v>
      </c>
      <c r="C14" s="46">
        <v>301</v>
      </c>
      <c r="D14" s="46" t="s">
        <v>53</v>
      </c>
      <c r="H14" s="56">
        <v>30373</v>
      </c>
      <c r="I14" s="164">
        <v>0</v>
      </c>
      <c r="J14" s="141">
        <f>H14-I14</f>
        <v>30373</v>
      </c>
      <c r="K14" s="137"/>
      <c r="L14" s="56">
        <v>0</v>
      </c>
      <c r="M14" s="110"/>
      <c r="N14" s="142"/>
      <c r="O14" s="142"/>
    </row>
    <row r="15" spans="1:16">
      <c r="A15" s="16">
        <f>IF(ISNUMBER(H15),MAX(A$11:A14)+1,"")</f>
        <v>2</v>
      </c>
      <c r="C15" s="46">
        <v>302</v>
      </c>
      <c r="D15" s="46" t="s">
        <v>54</v>
      </c>
      <c r="H15" s="56">
        <v>56112071.229999997</v>
      </c>
      <c r="I15" s="164">
        <v>24600660.420000002</v>
      </c>
      <c r="J15" s="141">
        <f>H15-I15</f>
        <v>31511410.809999995</v>
      </c>
      <c r="K15" s="137"/>
      <c r="L15" s="56">
        <v>2723104</v>
      </c>
      <c r="M15" s="110"/>
      <c r="N15" s="142"/>
      <c r="O15" s="142"/>
    </row>
    <row r="16" spans="1:16">
      <c r="A16" s="16">
        <f>IF(ISNUMBER(H16),MAX(A$11:A15)+1,"")</f>
        <v>3</v>
      </c>
      <c r="C16" s="46">
        <v>303</v>
      </c>
      <c r="D16" s="46" t="s">
        <v>55</v>
      </c>
      <c r="H16" s="56">
        <v>142425526.03</v>
      </c>
      <c r="I16" s="164">
        <v>52493606.32</v>
      </c>
      <c r="J16" s="141">
        <f>H16-I16</f>
        <v>89931919.710000008</v>
      </c>
      <c r="K16" s="137"/>
      <c r="L16" s="56">
        <v>6126225.4000000004</v>
      </c>
      <c r="M16" s="110"/>
      <c r="N16" s="142"/>
      <c r="O16" s="142"/>
    </row>
    <row r="17" spans="1:15">
      <c r="A17" s="16">
        <f>IF(ISNUMBER(H17),MAX(A$11:A16)+1,"")</f>
        <v>4</v>
      </c>
      <c r="D17" s="55" t="s">
        <v>92</v>
      </c>
      <c r="F17" s="46" t="str">
        <f>"Sum of Lines 1-"&amp;A16</f>
        <v>Sum of Lines 1-3</v>
      </c>
      <c r="H17" s="60">
        <f>SUM(H14:H16)</f>
        <v>198567970.25999999</v>
      </c>
      <c r="I17" s="60">
        <f>SUM(I14:I16)</f>
        <v>77094266.74000001</v>
      </c>
      <c r="J17" s="60">
        <f>SUM(J14:J16)</f>
        <v>121473703.52000001</v>
      </c>
      <c r="K17" s="137"/>
      <c r="L17" s="60">
        <f>SUM(L14:L16)</f>
        <v>8849329.4000000004</v>
      </c>
      <c r="M17" s="110"/>
      <c r="N17" s="142"/>
      <c r="O17" s="142"/>
    </row>
    <row r="18" spans="1:15">
      <c r="A18" s="16" t="str">
        <f>IF(ISNUMBER(H18),MAX(A$11:A17)+1,"")</f>
        <v/>
      </c>
      <c r="H18" s="137" t="s">
        <v>45</v>
      </c>
      <c r="I18" s="137"/>
      <c r="J18" s="137"/>
      <c r="K18" s="137"/>
      <c r="L18" s="137"/>
      <c r="M18" s="110"/>
      <c r="N18" s="142"/>
      <c r="O18" s="142"/>
    </row>
    <row r="19" spans="1:15">
      <c r="A19" s="16" t="str">
        <f>IF(ISNUMBER(H19),MAX(A$11:A18)+1,"")</f>
        <v/>
      </c>
      <c r="D19" s="48" t="s">
        <v>56</v>
      </c>
      <c r="H19" s="137"/>
      <c r="I19" s="137"/>
      <c r="J19" s="137"/>
      <c r="K19" s="137"/>
      <c r="L19" s="137"/>
      <c r="M19" s="110"/>
      <c r="N19" s="142"/>
      <c r="O19" s="142"/>
    </row>
    <row r="20" spans="1:15">
      <c r="A20" s="16">
        <f>IF(ISNUMBER(H20),MAX(A$11:A19)+1,"")</f>
        <v>5</v>
      </c>
      <c r="C20" s="46">
        <v>330</v>
      </c>
      <c r="D20" s="46" t="s">
        <v>57</v>
      </c>
      <c r="H20" s="56">
        <v>19685660.300000001</v>
      </c>
      <c r="I20" s="164">
        <v>0</v>
      </c>
      <c r="J20" s="137">
        <f t="shared" ref="J20:J26" si="0">H20-I20</f>
        <v>19685660.300000001</v>
      </c>
      <c r="K20" s="137"/>
      <c r="L20" s="56">
        <v>0</v>
      </c>
      <c r="M20" s="110"/>
      <c r="N20" s="142"/>
      <c r="O20" s="142"/>
    </row>
    <row r="21" spans="1:15">
      <c r="A21" s="16">
        <f>IF(ISNUMBER(H21),MAX(A$11:A20)+1,"")</f>
        <v>6</v>
      </c>
      <c r="C21" s="46">
        <v>331</v>
      </c>
      <c r="D21" s="46" t="s">
        <v>58</v>
      </c>
      <c r="H21" s="56">
        <v>144112917.75</v>
      </c>
      <c r="I21" s="164">
        <v>24852507.609999999</v>
      </c>
      <c r="J21" s="137">
        <f t="shared" si="0"/>
        <v>119260410.14</v>
      </c>
      <c r="K21" s="137"/>
      <c r="L21" s="56">
        <v>2164621.6299999994</v>
      </c>
      <c r="M21" s="110"/>
      <c r="N21" s="142"/>
      <c r="O21" s="142"/>
    </row>
    <row r="22" spans="1:15">
      <c r="A22" s="16">
        <f>IF(ISNUMBER(H22),MAX(A$11:A21)+1,"")</f>
        <v>7</v>
      </c>
      <c r="C22" s="46">
        <v>332</v>
      </c>
      <c r="D22" s="46" t="s">
        <v>59</v>
      </c>
      <c r="H22" s="56">
        <v>511074820.58999997</v>
      </c>
      <c r="I22" s="164">
        <v>115100840.02</v>
      </c>
      <c r="J22" s="137">
        <f t="shared" si="0"/>
        <v>395973980.56999999</v>
      </c>
      <c r="K22" s="137"/>
      <c r="L22" s="56">
        <v>5078928.5399999982</v>
      </c>
      <c r="M22" s="110"/>
      <c r="N22" s="142"/>
      <c r="O22" s="142"/>
    </row>
    <row r="23" spans="1:15">
      <c r="A23" s="16">
        <f>IF(ISNUMBER(H23),MAX(A$11:A22)+1,"")</f>
        <v>8</v>
      </c>
      <c r="C23" s="46">
        <v>333</v>
      </c>
      <c r="D23" s="46" t="s">
        <v>60</v>
      </c>
      <c r="H23" s="56">
        <v>625533456.67999995</v>
      </c>
      <c r="I23" s="164">
        <v>166883997.12999997</v>
      </c>
      <c r="J23" s="137">
        <f t="shared" si="0"/>
        <v>458649459.54999995</v>
      </c>
      <c r="K23" s="137"/>
      <c r="L23" s="56">
        <v>11125550.129999999</v>
      </c>
      <c r="M23" s="110"/>
      <c r="N23" s="142"/>
      <c r="O23" s="142"/>
    </row>
    <row r="24" spans="1:15">
      <c r="A24" s="16">
        <f>IF(ISNUMBER(H24),MAX(A$11:A23)+1,"")</f>
        <v>9</v>
      </c>
      <c r="C24" s="46">
        <v>334</v>
      </c>
      <c r="D24" s="46" t="s">
        <v>61</v>
      </c>
      <c r="H24" s="56">
        <v>59024861.200000003</v>
      </c>
      <c r="I24" s="164">
        <v>27726895.399999999</v>
      </c>
      <c r="J24" s="137">
        <f t="shared" si="0"/>
        <v>31297965.800000004</v>
      </c>
      <c r="K24" s="137"/>
      <c r="L24" s="56">
        <v>1653668.0999999994</v>
      </c>
      <c r="M24" s="110"/>
      <c r="N24" s="142"/>
      <c r="O24" s="142"/>
    </row>
    <row r="25" spans="1:15">
      <c r="A25" s="16">
        <f>IF(ISNUMBER(H25),MAX(A$11:A24)+1,"")</f>
        <v>10</v>
      </c>
      <c r="C25" s="46">
        <v>335</v>
      </c>
      <c r="D25" s="46" t="s">
        <v>62</v>
      </c>
      <c r="H25" s="56">
        <v>63234736.299999997</v>
      </c>
      <c r="I25" s="164">
        <v>32362643.519999992</v>
      </c>
      <c r="J25" s="137">
        <f t="shared" si="0"/>
        <v>30872092.780000005</v>
      </c>
      <c r="K25" s="137"/>
      <c r="L25" s="56">
        <v>1804347.7499999993</v>
      </c>
      <c r="M25" s="110"/>
      <c r="N25" s="142"/>
      <c r="O25" s="142"/>
    </row>
    <row r="26" spans="1:15">
      <c r="A26" s="16">
        <f>IF(ISNUMBER(H26),MAX(A$11:A25)+1,"")</f>
        <v>11</v>
      </c>
      <c r="C26" s="46">
        <v>336</v>
      </c>
      <c r="D26" s="46" t="s">
        <v>63</v>
      </c>
      <c r="H26" s="56">
        <v>1792667.77</v>
      </c>
      <c r="I26" s="164">
        <v>1047412.3</v>
      </c>
      <c r="J26" s="137">
        <f t="shared" si="0"/>
        <v>745255.47</v>
      </c>
      <c r="K26" s="137"/>
      <c r="L26" s="56">
        <v>0</v>
      </c>
      <c r="M26" s="110"/>
      <c r="N26" s="142"/>
      <c r="O26" s="142"/>
    </row>
    <row r="27" spans="1:15">
      <c r="A27" s="16">
        <f>IF(ISNUMBER(H27),MAX(A$11:A26)+1,"")</f>
        <v>12</v>
      </c>
      <c r="D27" s="55" t="s">
        <v>387</v>
      </c>
      <c r="F27" s="46" t="str">
        <f>"Sum of Lines "&amp;A20&amp;"-"&amp;A26</f>
        <v>Sum of Lines 5-11</v>
      </c>
      <c r="H27" s="60">
        <f>SUM(H20:H26)</f>
        <v>1424459120.5899999</v>
      </c>
      <c r="I27" s="60">
        <f>SUM(I20:I26)</f>
        <v>367974295.97999996</v>
      </c>
      <c r="J27" s="60">
        <f>SUM(J20:J26)</f>
        <v>1056484824.6099999</v>
      </c>
      <c r="K27" s="137"/>
      <c r="L27" s="60">
        <f>SUM(L20:L26)</f>
        <v>21827116.149999995</v>
      </c>
      <c r="M27" s="110"/>
      <c r="N27" s="142"/>
      <c r="O27" s="142"/>
    </row>
    <row r="28" spans="1:15">
      <c r="A28" s="16" t="str">
        <f>IF(ISNUMBER(H28),MAX(A$11:A27)+1,"")</f>
        <v/>
      </c>
      <c r="G28" s="46"/>
      <c r="H28" s="110"/>
      <c r="I28" s="110"/>
      <c r="J28" s="110"/>
      <c r="K28" s="137"/>
      <c r="L28" s="110"/>
      <c r="M28" s="110"/>
      <c r="N28" s="142"/>
      <c r="O28" s="142"/>
    </row>
    <row r="29" spans="1:15">
      <c r="A29" s="16" t="str">
        <f>IF(ISNUMBER(H29),MAX(A$11:A28)+1,"")</f>
        <v/>
      </c>
      <c r="D29" s="48" t="s">
        <v>64</v>
      </c>
      <c r="G29" s="46"/>
      <c r="H29" s="110"/>
      <c r="I29" s="110"/>
      <c r="J29" s="110"/>
      <c r="K29" s="137"/>
      <c r="L29" s="110"/>
      <c r="M29" s="110"/>
      <c r="N29" s="142"/>
      <c r="O29" s="142"/>
    </row>
    <row r="30" spans="1:15">
      <c r="A30" s="16">
        <f>IF(ISNUMBER(H30),MAX(A$11:A29)+1,"")</f>
        <v>13</v>
      </c>
      <c r="C30" s="46">
        <v>346</v>
      </c>
      <c r="D30" s="46" t="s">
        <v>62</v>
      </c>
      <c r="H30" s="56">
        <v>29655.78</v>
      </c>
      <c r="I30" s="164">
        <v>20759.060000000001</v>
      </c>
      <c r="J30" s="137">
        <f>H30-I30</f>
        <v>8896.7199999999975</v>
      </c>
      <c r="K30" s="137"/>
      <c r="L30" s="56">
        <v>1482.79</v>
      </c>
      <c r="M30" s="110"/>
      <c r="N30" s="142"/>
      <c r="O30" s="142"/>
    </row>
    <row r="31" spans="1:15">
      <c r="A31" s="16">
        <f>IF(ISNUMBER(H31),MAX(A$11:A30)+1,"")</f>
        <v>14</v>
      </c>
      <c r="D31" s="55" t="s">
        <v>93</v>
      </c>
      <c r="F31" s="46" t="str">
        <f>"Sum of Line "&amp;A30</f>
        <v>Sum of Line 13</v>
      </c>
      <c r="H31" s="60">
        <f>SUM(H30)</f>
        <v>29655.78</v>
      </c>
      <c r="I31" s="60">
        <f t="shared" ref="I31:L31" si="1">SUM(I30)</f>
        <v>20759.060000000001</v>
      </c>
      <c r="J31" s="60">
        <f t="shared" si="1"/>
        <v>8896.7199999999975</v>
      </c>
      <c r="K31" s="137"/>
      <c r="L31" s="60">
        <f t="shared" si="1"/>
        <v>1482.79</v>
      </c>
      <c r="M31" s="110"/>
      <c r="N31" s="142"/>
      <c r="O31" s="142"/>
    </row>
    <row r="32" spans="1:15">
      <c r="A32" s="16" t="str">
        <f>IF(ISNUMBER(H32),MAX(A$11:A31)+1,"")</f>
        <v/>
      </c>
      <c r="H32" s="137"/>
      <c r="I32" s="137"/>
      <c r="J32" s="137"/>
      <c r="K32" s="137"/>
      <c r="L32" s="137"/>
      <c r="M32" s="110"/>
      <c r="N32" s="142"/>
      <c r="O32" s="142"/>
    </row>
    <row r="33" spans="1:16">
      <c r="A33" s="16" t="str">
        <f>IF(ISNUMBER(H33),MAX(A$11:A32)+1,"")</f>
        <v/>
      </c>
      <c r="D33" s="48" t="s">
        <v>31</v>
      </c>
      <c r="H33" s="137"/>
      <c r="I33" s="137"/>
      <c r="J33" s="137"/>
      <c r="K33" s="137"/>
      <c r="L33" s="137"/>
      <c r="M33" s="110"/>
      <c r="N33" s="142"/>
      <c r="O33" s="142"/>
    </row>
    <row r="34" spans="1:16">
      <c r="A34" s="16">
        <f>IF(ISNUMBER(H34),MAX(A$11:A33)+1,"")</f>
        <v>15</v>
      </c>
      <c r="C34" s="46">
        <v>350</v>
      </c>
      <c r="D34" s="46" t="s">
        <v>57</v>
      </c>
      <c r="H34" s="56">
        <v>2002732.0499999998</v>
      </c>
      <c r="I34" s="164">
        <v>0</v>
      </c>
      <c r="J34" s="137">
        <f t="shared" ref="J34:J40" si="2">H34-I34</f>
        <v>2002732.0499999998</v>
      </c>
      <c r="K34" s="137"/>
      <c r="L34" s="56">
        <v>0</v>
      </c>
      <c r="M34" s="110"/>
      <c r="N34" s="142"/>
      <c r="O34" s="142"/>
    </row>
    <row r="35" spans="1:16">
      <c r="A35" s="16">
        <f>IF(ISNUMBER(H35),MAX(A$11:A34)+1,"")</f>
        <v>16</v>
      </c>
      <c r="C35" s="46">
        <v>352</v>
      </c>
      <c r="D35" s="46" t="s">
        <v>58</v>
      </c>
      <c r="H35" s="56">
        <v>5906796.4299999997</v>
      </c>
      <c r="I35" s="164">
        <v>3250108.34</v>
      </c>
      <c r="J35" s="137">
        <f t="shared" si="2"/>
        <v>2656688.09</v>
      </c>
      <c r="K35" s="137"/>
      <c r="L35" s="56">
        <v>132261.51</v>
      </c>
      <c r="M35" s="110"/>
      <c r="N35" s="142"/>
      <c r="O35" s="142"/>
    </row>
    <row r="36" spans="1:16">
      <c r="A36" s="16">
        <f>IF(ISNUMBER(H36),MAX(A$11:A35)+1,"")</f>
        <v>17</v>
      </c>
      <c r="C36" s="46">
        <v>353</v>
      </c>
      <c r="D36" s="46" t="s">
        <v>65</v>
      </c>
      <c r="H36" s="56">
        <v>87642273.099999994</v>
      </c>
      <c r="I36" s="164">
        <v>43619606.379999995</v>
      </c>
      <c r="J36" s="137">
        <f t="shared" si="2"/>
        <v>44022666.719999999</v>
      </c>
      <c r="K36" s="137"/>
      <c r="L36" s="56">
        <v>1924440.4200000004</v>
      </c>
      <c r="M36" s="110"/>
      <c r="N36" s="142"/>
      <c r="O36" s="142"/>
    </row>
    <row r="37" spans="1:16">
      <c r="A37" s="16">
        <f>IF(ISNUMBER(H37),MAX(A$11:A36)+1,"")</f>
        <v>18</v>
      </c>
      <c r="C37" s="46">
        <v>354</v>
      </c>
      <c r="D37" s="46" t="s">
        <v>66</v>
      </c>
      <c r="H37" s="56">
        <v>9747602.0500000007</v>
      </c>
      <c r="I37" s="164">
        <v>5675684.04</v>
      </c>
      <c r="J37" s="137">
        <f t="shared" si="2"/>
        <v>4071918.0100000007</v>
      </c>
      <c r="K37" s="137"/>
      <c r="L37" s="56">
        <v>158191.88</v>
      </c>
      <c r="M37" s="110"/>
      <c r="N37" s="142"/>
      <c r="O37" s="142"/>
    </row>
    <row r="38" spans="1:16">
      <c r="A38" s="16">
        <f>IF(ISNUMBER(H38),MAX(A$11:A37)+1,"")</f>
        <v>19</v>
      </c>
      <c r="C38" s="46">
        <v>355</v>
      </c>
      <c r="D38" s="46" t="s">
        <v>67</v>
      </c>
      <c r="H38" s="56">
        <v>87273369.439999998</v>
      </c>
      <c r="I38" s="164">
        <v>33534450.739999991</v>
      </c>
      <c r="J38" s="137">
        <f t="shared" si="2"/>
        <v>53738918.700000003</v>
      </c>
      <c r="K38" s="137"/>
      <c r="L38" s="56">
        <v>2480135.5299999993</v>
      </c>
      <c r="M38" s="110"/>
      <c r="N38" s="142"/>
      <c r="O38" s="142"/>
    </row>
    <row r="39" spans="1:16">
      <c r="A39" s="16">
        <f>IF(ISNUMBER(H39),MAX(A$11:A38)+1,"")</f>
        <v>20</v>
      </c>
      <c r="C39" s="46">
        <v>356</v>
      </c>
      <c r="D39" s="46" t="s">
        <v>68</v>
      </c>
      <c r="H39" s="56">
        <v>60374024.899999999</v>
      </c>
      <c r="I39" s="164">
        <v>17334506.509999994</v>
      </c>
      <c r="J39" s="137">
        <f t="shared" si="2"/>
        <v>43039518.390000001</v>
      </c>
      <c r="K39" s="137"/>
      <c r="L39" s="56">
        <v>1171313.4799999997</v>
      </c>
      <c r="M39" s="110"/>
      <c r="N39" s="142"/>
      <c r="O39" s="142"/>
    </row>
    <row r="40" spans="1:16">
      <c r="A40" s="16">
        <f>IF(ISNUMBER(H40),MAX(A$11:A39)+1,"")</f>
        <v>21</v>
      </c>
      <c r="C40" s="46">
        <v>359</v>
      </c>
      <c r="D40" s="46" t="s">
        <v>69</v>
      </c>
      <c r="H40" s="56">
        <v>82269.700000000012</v>
      </c>
      <c r="I40" s="164">
        <v>57960.53</v>
      </c>
      <c r="J40" s="137">
        <f t="shared" si="2"/>
        <v>24309.170000000013</v>
      </c>
      <c r="K40" s="137"/>
      <c r="L40" s="56">
        <v>380.78</v>
      </c>
      <c r="M40" s="110"/>
      <c r="N40" s="142"/>
      <c r="O40" s="142"/>
    </row>
    <row r="41" spans="1:16">
      <c r="A41" s="16">
        <f>IF(ISNUMBER(H41),MAX(A$11:A40)+1,"")</f>
        <v>22</v>
      </c>
      <c r="D41" s="55" t="s">
        <v>94</v>
      </c>
      <c r="F41" s="46" t="str">
        <f>"Sum of Lines "&amp;A34&amp;"-"&amp;A40</f>
        <v>Sum of Lines 15-21</v>
      </c>
      <c r="H41" s="60">
        <f>SUM(H34:H40)</f>
        <v>253029067.66999999</v>
      </c>
      <c r="I41" s="60">
        <f>SUM(I34:I40)</f>
        <v>103472316.53999998</v>
      </c>
      <c r="J41" s="60">
        <f>SUM(J34:J40)</f>
        <v>149556751.12999997</v>
      </c>
      <c r="K41" s="137"/>
      <c r="L41" s="60">
        <f>SUM(L34:L40)</f>
        <v>5866723.5999999996</v>
      </c>
      <c r="M41" s="110"/>
      <c r="N41" s="142"/>
      <c r="O41" s="142"/>
    </row>
    <row r="42" spans="1:16">
      <c r="A42" s="16" t="str">
        <f>IF(ISNUMBER(H42),MAX(A$11:A41)+1,"")</f>
        <v/>
      </c>
      <c r="H42" s="137"/>
      <c r="I42" s="137"/>
      <c r="J42" s="137"/>
      <c r="K42" s="137"/>
      <c r="L42" s="137"/>
      <c r="M42" s="110"/>
      <c r="N42" s="142"/>
      <c r="O42" s="142"/>
    </row>
    <row r="43" spans="1:16">
      <c r="A43" s="16" t="str">
        <f>IF(ISNUMBER(H43),MAX(A$11:A42)+1,"")</f>
        <v/>
      </c>
      <c r="H43" s="137"/>
      <c r="I43" s="137"/>
      <c r="J43" s="137"/>
      <c r="K43" s="137"/>
      <c r="L43" s="137"/>
      <c r="M43" s="110"/>
      <c r="N43" s="142"/>
      <c r="O43" s="142"/>
    </row>
    <row r="44" spans="1:16">
      <c r="A44" s="16" t="str">
        <f>IF(ISNUMBER(H44),MAX(A$11:A43)+1,"")</f>
        <v/>
      </c>
      <c r="D44" s="48" t="s">
        <v>70</v>
      </c>
      <c r="H44" s="137"/>
      <c r="I44" s="137"/>
      <c r="J44" s="137"/>
      <c r="K44" s="137"/>
      <c r="L44" s="137"/>
      <c r="M44" s="110"/>
      <c r="N44" s="142"/>
      <c r="O44" s="142"/>
    </row>
    <row r="45" spans="1:16">
      <c r="A45" s="16">
        <f>IF(ISNUMBER(H45),MAX(A$11:A44)+1,"")</f>
        <v>23</v>
      </c>
      <c r="C45" s="46">
        <v>360</v>
      </c>
      <c r="D45" s="46" t="s">
        <v>57</v>
      </c>
      <c r="H45" s="56">
        <v>853208.64</v>
      </c>
      <c r="I45" s="164">
        <v>0</v>
      </c>
      <c r="J45" s="137">
        <f t="shared" ref="J45:J55" si="3">H45-I45</f>
        <v>853208.64</v>
      </c>
      <c r="K45" s="137"/>
      <c r="L45" s="56">
        <v>0</v>
      </c>
      <c r="M45" s="110"/>
      <c r="N45" s="142" t="s">
        <v>374</v>
      </c>
      <c r="O45" s="173">
        <v>1</v>
      </c>
      <c r="P45" s="135">
        <f>H45*O45</f>
        <v>853208.64</v>
      </c>
    </row>
    <row r="46" spans="1:16">
      <c r="A46" s="16">
        <f>IF(ISNUMBER(H46),MAX(A$11:A45)+1,"")</f>
        <v>24</v>
      </c>
      <c r="C46" s="46">
        <v>361</v>
      </c>
      <c r="D46" s="110" t="s">
        <v>58</v>
      </c>
      <c r="H46" s="56">
        <v>1052383.6299999999</v>
      </c>
      <c r="I46" s="164">
        <v>833037.1</v>
      </c>
      <c r="J46" s="137">
        <f t="shared" si="3"/>
        <v>219346.52999999991</v>
      </c>
      <c r="K46" s="137"/>
      <c r="L46" s="56">
        <v>25739.14</v>
      </c>
      <c r="M46" s="110"/>
      <c r="N46" s="142" t="s">
        <v>374</v>
      </c>
      <c r="O46" s="173">
        <v>1</v>
      </c>
      <c r="P46" s="135">
        <f t="shared" ref="P46:P55" si="4">H46*O46</f>
        <v>1052383.6299999999</v>
      </c>
    </row>
    <row r="47" spans="1:16">
      <c r="A47" s="16">
        <f>IF(ISNUMBER(H47),MAX(A$11:A46)+1,"")</f>
        <v>25</v>
      </c>
      <c r="C47" s="46">
        <v>362</v>
      </c>
      <c r="D47" s="110" t="s">
        <v>73</v>
      </c>
      <c r="H47" s="56">
        <v>176101529.24000001</v>
      </c>
      <c r="I47" s="164">
        <v>67203015.309999973</v>
      </c>
      <c r="J47" s="137">
        <f t="shared" si="3"/>
        <v>108898513.93000004</v>
      </c>
      <c r="K47" s="137"/>
      <c r="L47" s="56">
        <v>5848336.5100000007</v>
      </c>
      <c r="M47" s="110"/>
      <c r="N47" s="142" t="s">
        <v>374</v>
      </c>
      <c r="O47" s="173">
        <v>1</v>
      </c>
      <c r="P47" s="135">
        <f t="shared" si="4"/>
        <v>176101529.24000001</v>
      </c>
    </row>
    <row r="48" spans="1:16">
      <c r="A48" s="16">
        <f>IF(ISNUMBER(H48),MAX(A$11:A47)+1,"")</f>
        <v>26</v>
      </c>
      <c r="C48" s="46">
        <v>364</v>
      </c>
      <c r="D48" s="110" t="s">
        <v>74</v>
      </c>
      <c r="H48" s="56">
        <v>92252170.510000005</v>
      </c>
      <c r="I48" s="164">
        <v>58325367.310000122</v>
      </c>
      <c r="J48" s="137">
        <f t="shared" si="3"/>
        <v>33926803.199999884</v>
      </c>
      <c r="K48" s="137"/>
      <c r="L48" s="56">
        <v>3603802.9500000011</v>
      </c>
      <c r="M48" s="110"/>
      <c r="N48" s="142" t="s">
        <v>374</v>
      </c>
      <c r="O48" s="173">
        <v>1</v>
      </c>
      <c r="P48" s="135">
        <f t="shared" si="4"/>
        <v>92252170.510000005</v>
      </c>
    </row>
    <row r="49" spans="1:16">
      <c r="A49" s="16">
        <f>IF(ISNUMBER(H49),MAX(A$11:A48)+1,"")</f>
        <v>27</v>
      </c>
      <c r="C49" s="46">
        <v>365</v>
      </c>
      <c r="D49" s="110" t="s">
        <v>68</v>
      </c>
      <c r="H49" s="56">
        <v>92966520.579999998</v>
      </c>
      <c r="I49" s="164">
        <v>40533788.970000066</v>
      </c>
      <c r="J49" s="137">
        <f t="shared" si="3"/>
        <v>52432731.609999932</v>
      </c>
      <c r="K49" s="137"/>
      <c r="L49" s="56">
        <v>2620130.7099999986</v>
      </c>
      <c r="M49" s="110"/>
      <c r="N49" s="142" t="s">
        <v>373</v>
      </c>
      <c r="O49" s="119">
        <f>'Exh I - Allocators'!L22</f>
        <v>0.68016043575483931</v>
      </c>
      <c r="P49" s="135">
        <f t="shared" si="4"/>
        <v>63232149.148304038</v>
      </c>
    </row>
    <row r="50" spans="1:16">
      <c r="A50" s="16">
        <f>IF(ISNUMBER(H50),MAX(A$11:A49)+1,"")</f>
        <v>28</v>
      </c>
      <c r="C50" s="46">
        <v>366</v>
      </c>
      <c r="D50" s="110" t="s">
        <v>75</v>
      </c>
      <c r="H50" s="56">
        <v>22305266.890000001</v>
      </c>
      <c r="I50" s="164">
        <v>5303765.3699999964</v>
      </c>
      <c r="J50" s="137">
        <f t="shared" si="3"/>
        <v>17001501.520000003</v>
      </c>
      <c r="K50" s="137"/>
      <c r="L50" s="56">
        <v>437389.45000000048</v>
      </c>
      <c r="M50" s="110"/>
      <c r="N50" s="142" t="s">
        <v>373</v>
      </c>
      <c r="O50" s="119">
        <f>'Exh I - Allocators'!L22</f>
        <v>0.68016043575483931</v>
      </c>
      <c r="P50" s="135">
        <f t="shared" si="4"/>
        <v>15171160.04753039</v>
      </c>
    </row>
    <row r="51" spans="1:16">
      <c r="A51" s="16">
        <f>IF(ISNUMBER(H51),MAX(A$11:A50)+1,"")</f>
        <v>29</v>
      </c>
      <c r="C51" s="46">
        <v>367</v>
      </c>
      <c r="D51" s="110" t="s">
        <v>76</v>
      </c>
      <c r="H51" s="56">
        <v>96477984.120000005</v>
      </c>
      <c r="I51" s="164">
        <v>35724309.340000056</v>
      </c>
      <c r="J51" s="137">
        <f t="shared" si="3"/>
        <v>60753674.779999949</v>
      </c>
      <c r="K51" s="137"/>
      <c r="L51" s="56">
        <v>2704081.3899999992</v>
      </c>
      <c r="M51" s="110"/>
      <c r="N51" s="142" t="s">
        <v>373</v>
      </c>
      <c r="O51" s="119">
        <f>'Exh I - Allocators'!L22</f>
        <v>0.68016043575483931</v>
      </c>
      <c r="P51" s="135">
        <f t="shared" si="4"/>
        <v>65620507.71980767</v>
      </c>
    </row>
    <row r="52" spans="1:16">
      <c r="A52" s="16">
        <f>IF(ISNUMBER(H52),MAX(A$11:A51)+1,"")</f>
        <v>30</v>
      </c>
      <c r="C52" s="46">
        <v>368</v>
      </c>
      <c r="D52" s="110" t="s">
        <v>71</v>
      </c>
      <c r="H52" s="56">
        <v>75150171.00999999</v>
      </c>
      <c r="I52" s="164">
        <v>56494426.129999988</v>
      </c>
      <c r="J52" s="137">
        <f t="shared" si="3"/>
        <v>18655744.880000003</v>
      </c>
      <c r="K52" s="137"/>
      <c r="L52" s="56">
        <v>2979476.7299999972</v>
      </c>
      <c r="M52" s="110"/>
      <c r="N52" s="142" t="s">
        <v>372</v>
      </c>
      <c r="O52" s="173">
        <v>0</v>
      </c>
      <c r="P52" s="135">
        <f t="shared" si="4"/>
        <v>0</v>
      </c>
    </row>
    <row r="53" spans="1:16">
      <c r="A53" s="16">
        <f>IF(ISNUMBER(H53),MAX(A$11:A52)+1,"")</f>
        <v>31</v>
      </c>
      <c r="C53" s="46">
        <v>369</v>
      </c>
      <c r="D53" s="110" t="s">
        <v>77</v>
      </c>
      <c r="H53" s="56">
        <v>21339100.899999999</v>
      </c>
      <c r="I53" s="164">
        <v>18201945.979999989</v>
      </c>
      <c r="J53" s="137">
        <f t="shared" si="3"/>
        <v>3137154.9200000092</v>
      </c>
      <c r="K53" s="137"/>
      <c r="L53" s="56">
        <v>378948.82999999897</v>
      </c>
      <c r="M53" s="110"/>
      <c r="N53" s="142" t="s">
        <v>372</v>
      </c>
      <c r="O53" s="173">
        <v>0</v>
      </c>
      <c r="P53" s="135">
        <f t="shared" si="4"/>
        <v>0</v>
      </c>
    </row>
    <row r="54" spans="1:16">
      <c r="A54" s="16">
        <f>IF(ISNUMBER(H54),MAX(A$11:A53)+1,"")</f>
        <v>32</v>
      </c>
      <c r="C54" s="46">
        <v>370</v>
      </c>
      <c r="D54" s="46" t="s">
        <v>72</v>
      </c>
      <c r="H54" s="56">
        <v>23489723.060000002</v>
      </c>
      <c r="I54" s="164">
        <v>12440718.15000001</v>
      </c>
      <c r="J54" s="137">
        <f t="shared" si="3"/>
        <v>11049004.909999993</v>
      </c>
      <c r="K54" s="137"/>
      <c r="L54" s="56">
        <v>1067684.3599999996</v>
      </c>
      <c r="M54" s="110"/>
      <c r="N54" s="142" t="s">
        <v>372</v>
      </c>
      <c r="O54" s="173">
        <v>0</v>
      </c>
      <c r="P54" s="135">
        <f t="shared" si="4"/>
        <v>0</v>
      </c>
    </row>
    <row r="55" spans="1:16">
      <c r="A55" s="16">
        <f>IF(ISNUMBER(H55),MAX(A$11:A54)+1,"")</f>
        <v>33</v>
      </c>
      <c r="C55" s="46">
        <v>373</v>
      </c>
      <c r="D55" s="46" t="s">
        <v>78</v>
      </c>
      <c r="H55" s="56">
        <v>7108100.4400000004</v>
      </c>
      <c r="I55" s="164">
        <v>5481503.5500000017</v>
      </c>
      <c r="J55" s="137">
        <f t="shared" si="3"/>
        <v>1626596.8899999987</v>
      </c>
      <c r="K55" s="137"/>
      <c r="L55" s="56">
        <v>277001.84999999992</v>
      </c>
      <c r="M55" s="110"/>
      <c r="N55" s="142" t="s">
        <v>372</v>
      </c>
      <c r="O55" s="173">
        <v>0</v>
      </c>
      <c r="P55" s="135">
        <f t="shared" si="4"/>
        <v>0</v>
      </c>
    </row>
    <row r="56" spans="1:16">
      <c r="A56" s="16" t="str">
        <f>IF(ISNUMBER(H56),MAX(A$11:A55)+1,"")</f>
        <v/>
      </c>
      <c r="H56" s="137"/>
      <c r="I56" s="137"/>
      <c r="J56" s="137"/>
      <c r="K56" s="137"/>
      <c r="L56" s="137"/>
      <c r="M56" s="110"/>
      <c r="N56" s="142"/>
      <c r="O56" s="142"/>
    </row>
    <row r="57" spans="1:16">
      <c r="A57" s="16">
        <f>IF(ISNUMBER(H57),MAX(A$11:A56)+1,"")</f>
        <v>34</v>
      </c>
      <c r="D57" s="55" t="s">
        <v>95</v>
      </c>
      <c r="F57" s="46" t="str">
        <f>"Sum of Lines "&amp;A45&amp;"-"&amp;A55</f>
        <v>Sum of Lines 23-33</v>
      </c>
      <c r="H57" s="60">
        <f>SUM(H45:H55)</f>
        <v>609096159.01999998</v>
      </c>
      <c r="I57" s="60">
        <f>SUM(I45:I55)</f>
        <v>300541877.21000028</v>
      </c>
      <c r="J57" s="60">
        <f>SUM(J45:J55)</f>
        <v>308554281.80999976</v>
      </c>
      <c r="K57" s="137"/>
      <c r="L57" s="60">
        <f>SUM(L45:L55)</f>
        <v>19942591.919999998</v>
      </c>
      <c r="M57" s="110"/>
      <c r="N57" s="142"/>
      <c r="O57" s="142"/>
      <c r="P57" s="60">
        <f>SUM(P45:P55)</f>
        <v>414283108.93564218</v>
      </c>
    </row>
    <row r="58" spans="1:16">
      <c r="A58" s="16" t="str">
        <f>IF(ISNUMBER(H58),MAX(A$11:A57)+1,"")</f>
        <v/>
      </c>
      <c r="H58" s="137"/>
      <c r="I58" s="137"/>
      <c r="J58" s="137"/>
      <c r="K58" s="137"/>
      <c r="L58" s="137"/>
      <c r="M58" s="110"/>
      <c r="N58" s="142"/>
      <c r="O58" s="142"/>
    </row>
    <row r="59" spans="1:16">
      <c r="A59" s="16" t="str">
        <f>IF(ISNUMBER(H59),MAX(A$11:A58)+1,"")</f>
        <v/>
      </c>
      <c r="D59" s="48" t="s">
        <v>11</v>
      </c>
      <c r="H59" s="137"/>
      <c r="I59" s="137"/>
      <c r="J59" s="137">
        <v>0</v>
      </c>
      <c r="K59" s="137"/>
      <c r="L59" s="137"/>
      <c r="M59" s="110"/>
      <c r="N59" s="142"/>
      <c r="O59" s="142"/>
    </row>
    <row r="60" spans="1:16">
      <c r="A60" s="16">
        <f>IF(ISNUMBER(H60),MAX(A$11:A59)+1,"")</f>
        <v>35</v>
      </c>
      <c r="C60" s="46">
        <v>389</v>
      </c>
      <c r="D60" s="46" t="s">
        <v>57</v>
      </c>
      <c r="H60" s="56">
        <v>2377715.5</v>
      </c>
      <c r="I60" s="164">
        <v>0</v>
      </c>
      <c r="J60" s="137">
        <f t="shared" ref="J60:J69" si="5">H60-I60</f>
        <v>2377715.5</v>
      </c>
      <c r="K60" s="137"/>
      <c r="L60" s="56">
        <v>0</v>
      </c>
      <c r="M60" s="110"/>
      <c r="N60" s="142"/>
      <c r="O60" s="142"/>
    </row>
    <row r="61" spans="1:16">
      <c r="A61" s="16">
        <f>IF(ISNUMBER(H61),MAX(A$11:A60)+1,"")</f>
        <v>36</v>
      </c>
      <c r="C61" s="46">
        <v>390</v>
      </c>
      <c r="D61" s="46" t="s">
        <v>58</v>
      </c>
      <c r="H61" s="56">
        <v>220763261.13</v>
      </c>
      <c r="I61" s="164">
        <v>28196102.489999998</v>
      </c>
      <c r="J61" s="137">
        <f t="shared" si="5"/>
        <v>192567158.63999999</v>
      </c>
      <c r="K61" s="137"/>
      <c r="L61" s="56">
        <v>4659416.4400000004</v>
      </c>
      <c r="M61" s="110"/>
      <c r="N61" s="142"/>
      <c r="O61" s="142"/>
    </row>
    <row r="62" spans="1:16">
      <c r="A62" s="16">
        <f>IF(ISNUMBER(H62),MAX(A$11:A61)+1,"")</f>
        <v>37</v>
      </c>
      <c r="C62" s="46">
        <v>391</v>
      </c>
      <c r="D62" s="46" t="s">
        <v>79</v>
      </c>
      <c r="H62" s="56">
        <v>43672057.099999994</v>
      </c>
      <c r="I62" s="164">
        <v>43429163.289999999</v>
      </c>
      <c r="J62" s="137">
        <f t="shared" si="5"/>
        <v>242893.80999999493</v>
      </c>
      <c r="K62" s="137"/>
      <c r="L62" s="56">
        <v>53235.67</v>
      </c>
      <c r="M62" s="110"/>
      <c r="N62" s="142"/>
      <c r="O62" s="142"/>
    </row>
    <row r="63" spans="1:16">
      <c r="A63" s="16">
        <f>IF(ISNUMBER(H63),MAX(A$11:A62)+1,"")</f>
        <v>38</v>
      </c>
      <c r="C63" s="46">
        <v>392</v>
      </c>
      <c r="D63" s="46" t="s">
        <v>80</v>
      </c>
      <c r="H63" s="56">
        <v>22411805.039999999</v>
      </c>
      <c r="I63" s="164">
        <v>20261895.720000029</v>
      </c>
      <c r="J63" s="137">
        <f t="shared" si="5"/>
        <v>2149909.3199999705</v>
      </c>
      <c r="K63" s="137"/>
      <c r="L63" s="56">
        <v>1000560.98</v>
      </c>
      <c r="M63" s="110"/>
      <c r="N63" s="142"/>
      <c r="O63" s="142"/>
    </row>
    <row r="64" spans="1:16">
      <c r="A64" s="16">
        <f>IF(ISNUMBER(H64),MAX(A$11:A63)+1,"")</f>
        <v>39</v>
      </c>
      <c r="C64" s="46">
        <v>393</v>
      </c>
      <c r="D64" s="46" t="s">
        <v>81</v>
      </c>
      <c r="H64" s="56">
        <v>210943.86</v>
      </c>
      <c r="I64" s="164">
        <v>210943.86</v>
      </c>
      <c r="J64" s="137">
        <f t="shared" si="5"/>
        <v>0</v>
      </c>
      <c r="K64" s="137"/>
      <c r="L64" s="56">
        <v>0</v>
      </c>
      <c r="M64" s="110"/>
      <c r="N64" s="142"/>
      <c r="O64" s="142"/>
    </row>
    <row r="65" spans="1:16">
      <c r="A65" s="16">
        <f>IF(ISNUMBER(H65),MAX(A$11:A64)+1,"")</f>
        <v>40</v>
      </c>
      <c r="C65" s="46">
        <v>394</v>
      </c>
      <c r="D65" s="46" t="s">
        <v>82</v>
      </c>
      <c r="H65" s="56">
        <v>9052840.870000001</v>
      </c>
      <c r="I65" s="164">
        <v>4423303.2300000004</v>
      </c>
      <c r="J65" s="137">
        <f t="shared" si="5"/>
        <v>4629537.6400000006</v>
      </c>
      <c r="K65" s="137"/>
      <c r="L65" s="56">
        <v>275442.04000000004</v>
      </c>
      <c r="M65" s="110"/>
      <c r="N65" s="142"/>
      <c r="O65" s="142"/>
    </row>
    <row r="66" spans="1:16">
      <c r="A66" s="16">
        <f>IF(ISNUMBER(H66),MAX(A$11:A65)+1,"")</f>
        <v>41</v>
      </c>
      <c r="C66" s="46">
        <v>395</v>
      </c>
      <c r="D66" s="46" t="s">
        <v>83</v>
      </c>
      <c r="H66" s="56">
        <v>493371.12</v>
      </c>
      <c r="I66" s="164">
        <v>493371.12</v>
      </c>
      <c r="J66" s="137">
        <f t="shared" si="5"/>
        <v>0</v>
      </c>
      <c r="K66" s="137"/>
      <c r="L66" s="56">
        <v>0</v>
      </c>
      <c r="M66" s="110"/>
      <c r="N66" s="142"/>
      <c r="O66" s="142"/>
    </row>
    <row r="67" spans="1:16">
      <c r="A67" s="16">
        <f>IF(ISNUMBER(H67),MAX(A$11:A66)+1,"")</f>
        <v>42</v>
      </c>
      <c r="C67" s="46">
        <v>396</v>
      </c>
      <c r="D67" s="46" t="s">
        <v>84</v>
      </c>
      <c r="H67" s="56">
        <v>368133.91</v>
      </c>
      <c r="I67" s="164">
        <v>368133.91</v>
      </c>
      <c r="J67" s="137">
        <f t="shared" si="5"/>
        <v>0</v>
      </c>
      <c r="K67" s="137"/>
      <c r="L67" s="56">
        <v>0</v>
      </c>
      <c r="M67" s="110"/>
      <c r="N67" s="142"/>
      <c r="O67" s="142"/>
    </row>
    <row r="68" spans="1:16">
      <c r="A68" s="16">
        <f>IF(ISNUMBER(H68),MAX(A$11:A67)+1,"")</f>
        <v>43</v>
      </c>
      <c r="C68" s="46">
        <v>397</v>
      </c>
      <c r="D68" s="46" t="s">
        <v>85</v>
      </c>
      <c r="H68" s="56">
        <v>238587872.37</v>
      </c>
      <c r="I68" s="164">
        <v>144966008.98000017</v>
      </c>
      <c r="J68" s="137">
        <f>H68-I68</f>
        <v>93621863.389999837</v>
      </c>
      <c r="K68" s="137"/>
      <c r="L68" s="56">
        <v>10272470.239999993</v>
      </c>
      <c r="M68" s="110"/>
      <c r="N68" s="142"/>
      <c r="O68" s="142"/>
    </row>
    <row r="69" spans="1:16">
      <c r="A69" s="16">
        <f>IF(ISNUMBER(H69),MAX(A$11:A68)+1,"")</f>
        <v>44</v>
      </c>
      <c r="C69" s="46">
        <v>398</v>
      </c>
      <c r="D69" s="46" t="s">
        <v>86</v>
      </c>
      <c r="H69" s="56">
        <v>5537724.4199999999</v>
      </c>
      <c r="I69" s="164">
        <v>4216258.83</v>
      </c>
      <c r="J69" s="137">
        <f t="shared" si="5"/>
        <v>1321465.5899999999</v>
      </c>
      <c r="K69" s="137"/>
      <c r="L69" s="56">
        <v>260825.63000000003</v>
      </c>
      <c r="M69" s="110"/>
      <c r="N69" s="142"/>
      <c r="O69" s="142"/>
    </row>
    <row r="70" spans="1:16">
      <c r="A70" s="16" t="str">
        <f>IF(ISNUMBER(H70),MAX(A$11:A69)+1,"")</f>
        <v/>
      </c>
      <c r="H70" s="137"/>
      <c r="I70" s="137"/>
      <c r="J70" s="137"/>
      <c r="K70" s="137"/>
      <c r="L70" s="137"/>
      <c r="M70" s="110"/>
      <c r="N70" s="110"/>
      <c r="O70" s="142"/>
    </row>
    <row r="71" spans="1:16">
      <c r="A71" s="16">
        <f>IF(ISNUMBER(H71),MAX(A$11:A70)+1,"")</f>
        <v>45</v>
      </c>
      <c r="D71" s="55" t="s">
        <v>96</v>
      </c>
      <c r="F71" s="46" t="str">
        <f>"Sum of Lines "&amp;A60&amp;"-"&amp;A69</f>
        <v>Sum of Lines 35-44</v>
      </c>
      <c r="H71" s="60">
        <f>SUM(H60:H69)</f>
        <v>543475725.32000005</v>
      </c>
      <c r="I71" s="60">
        <f>SUM(I60:I69)</f>
        <v>246565181.43000022</v>
      </c>
      <c r="J71" s="60">
        <f>SUM(J60:J69)</f>
        <v>296910543.88999981</v>
      </c>
      <c r="K71" s="137"/>
      <c r="L71" s="60">
        <f>SUM(L60:L69)</f>
        <v>16521950.999999994</v>
      </c>
      <c r="M71" s="110"/>
      <c r="N71" s="110"/>
      <c r="O71" s="142"/>
    </row>
    <row r="72" spans="1:16">
      <c r="A72" s="16" t="str">
        <f>IF(ISNUMBER(H72),MAX(A$11:A71)+1,"")</f>
        <v/>
      </c>
      <c r="H72" s="110"/>
      <c r="I72" s="137"/>
      <c r="J72" s="137"/>
      <c r="K72" s="137"/>
      <c r="L72" s="137"/>
      <c r="M72" s="110"/>
      <c r="N72" s="110"/>
      <c r="O72" s="142"/>
    </row>
    <row r="73" spans="1:16">
      <c r="A73" s="16">
        <f>IF(ISNUMBER(H73),MAX(A$11:A72)+1,"")</f>
        <v>46</v>
      </c>
      <c r="D73" s="55" t="s">
        <v>290</v>
      </c>
      <c r="F73" s="46" t="str">
        <f>"Line "&amp;A17&amp;" + Line "&amp;A31&amp;" + Line "&amp;A41&amp;" + Line "&amp;A57&amp;" + Line "&amp;A71</f>
        <v>Line 4 + Line 14 + Line 22 + Line 34 + Line 45</v>
      </c>
      <c r="H73" s="137">
        <f>H71+H57+H41+H31+H17+H27</f>
        <v>3028657698.6400003</v>
      </c>
      <c r="I73" s="137">
        <f>I71+I57+I41+I31+I17+I27</f>
        <v>1095668696.9600003</v>
      </c>
      <c r="J73" s="137">
        <f>J71+J57+J41+J31+J17+J27</f>
        <v>1932989001.6799994</v>
      </c>
      <c r="K73" s="137"/>
      <c r="L73" s="137">
        <f>L71+L57+L41+L31+L17+L27</f>
        <v>73009194.859999985</v>
      </c>
      <c r="M73" s="110"/>
      <c r="N73" s="110"/>
      <c r="O73" s="142"/>
    </row>
    <row r="74" spans="1:16">
      <c r="A74" s="16"/>
      <c r="D74" s="55"/>
      <c r="H74" s="137"/>
      <c r="I74" s="137"/>
      <c r="J74" s="137"/>
      <c r="K74" s="137"/>
      <c r="L74" s="137"/>
      <c r="M74" s="110"/>
      <c r="N74" s="110"/>
      <c r="O74" s="142"/>
    </row>
    <row r="75" spans="1:16">
      <c r="A75" s="9" t="s">
        <v>102</v>
      </c>
      <c r="B75" s="4"/>
      <c r="C75" s="2"/>
      <c r="H75" s="110"/>
      <c r="I75" s="110"/>
      <c r="J75" s="110"/>
      <c r="K75" s="110"/>
      <c r="L75" s="110"/>
      <c r="M75" s="110"/>
      <c r="N75" s="110"/>
      <c r="O75" s="142"/>
    </row>
    <row r="76" spans="1:16">
      <c r="A76" s="9" t="s">
        <v>103</v>
      </c>
      <c r="B76" s="4"/>
      <c r="C76" s="2" t="s">
        <v>407</v>
      </c>
      <c r="H76" s="137"/>
      <c r="I76" s="137"/>
      <c r="J76" s="137"/>
      <c r="K76" s="137"/>
      <c r="L76" s="137"/>
      <c r="M76" s="110"/>
      <c r="N76" s="110"/>
      <c r="O76" s="142"/>
    </row>
    <row r="77" spans="1:16">
      <c r="A77" s="16"/>
      <c r="H77" s="137"/>
      <c r="I77" s="137"/>
      <c r="J77" s="137"/>
      <c r="K77" s="137"/>
      <c r="L77" s="137"/>
      <c r="M77" s="110"/>
      <c r="N77" s="110"/>
      <c r="O77" s="142"/>
    </row>
    <row r="78" spans="1:16">
      <c r="A78" s="9"/>
      <c r="C78" s="137"/>
      <c r="D78" s="137"/>
      <c r="E78" s="137"/>
      <c r="F78" s="137"/>
      <c r="G78" s="110"/>
      <c r="H78" s="110"/>
      <c r="I78" s="142"/>
      <c r="J78" s="112"/>
      <c r="K78"/>
      <c r="L78" s="53"/>
      <c r="M78" s="53"/>
      <c r="N78" s="53"/>
      <c r="O78" s="46"/>
      <c r="P78" s="46"/>
    </row>
    <row r="79" spans="1:16">
      <c r="B79" s="124"/>
      <c r="C79" s="137"/>
      <c r="D79" s="137"/>
      <c r="E79" s="137"/>
      <c r="F79" s="137"/>
      <c r="G79" s="110"/>
      <c r="H79" s="110"/>
      <c r="I79" s="142"/>
      <c r="J79" s="112"/>
      <c r="K79"/>
      <c r="L79" s="53"/>
      <c r="M79" s="53"/>
      <c r="N79" s="53"/>
      <c r="O79" s="46"/>
      <c r="P79" s="46"/>
    </row>
    <row r="80" spans="1:16">
      <c r="C80" s="137"/>
      <c r="D80" s="137"/>
      <c r="E80" s="137"/>
      <c r="F80" s="137"/>
      <c r="G80" s="110"/>
      <c r="H80" s="110"/>
      <c r="I80" s="142"/>
      <c r="J80" s="112"/>
      <c r="K80"/>
      <c r="L80" s="53"/>
      <c r="M80" s="53"/>
      <c r="N80" s="53"/>
      <c r="O80" s="46"/>
      <c r="P80" s="46"/>
    </row>
    <row r="81" spans="3:16">
      <c r="C81" s="137"/>
      <c r="D81" s="137"/>
      <c r="E81" s="137"/>
      <c r="F81" s="137"/>
      <c r="G81" s="110"/>
      <c r="H81" s="110"/>
      <c r="I81" s="142"/>
      <c r="J81" s="112"/>
      <c r="K81"/>
      <c r="L81" s="53"/>
      <c r="M81" s="53"/>
      <c r="N81" s="53"/>
      <c r="O81" s="46"/>
      <c r="P81" s="46"/>
    </row>
    <row r="82" spans="3:16">
      <c r="C82" s="137"/>
      <c r="D82" s="137"/>
      <c r="E82" s="137"/>
      <c r="F82" s="137"/>
      <c r="G82" s="110"/>
      <c r="H82" s="110"/>
      <c r="I82" s="142"/>
      <c r="J82" s="112"/>
      <c r="K82"/>
      <c r="L82" s="53"/>
      <c r="M82" s="53"/>
      <c r="N82" s="53"/>
      <c r="O82" s="46"/>
      <c r="P82" s="46"/>
    </row>
    <row r="83" spans="3:16">
      <c r="C83" s="137"/>
      <c r="D83" s="137"/>
      <c r="E83" s="137"/>
      <c r="F83" s="137"/>
      <c r="G83" s="110"/>
      <c r="H83" s="110"/>
      <c r="I83" s="142"/>
      <c r="J83" s="112"/>
      <c r="K83"/>
      <c r="L83" s="53"/>
      <c r="M83" s="53"/>
      <c r="N83" s="53"/>
      <c r="O83" s="46"/>
      <c r="P83" s="46"/>
    </row>
    <row r="84" spans="3:16">
      <c r="C84" s="137"/>
      <c r="D84" s="137"/>
      <c r="E84" s="137"/>
      <c r="F84" s="137"/>
      <c r="G84" s="110"/>
      <c r="H84" s="110"/>
      <c r="I84" s="142"/>
      <c r="J84" s="112"/>
      <c r="K84"/>
      <c r="L84" s="53"/>
      <c r="M84" s="53"/>
      <c r="N84" s="53"/>
      <c r="O84" s="46"/>
      <c r="P84" s="46"/>
    </row>
    <row r="85" spans="3:16">
      <c r="C85" s="137"/>
      <c r="D85" s="137"/>
      <c r="E85" s="137"/>
      <c r="F85" s="137"/>
      <c r="G85" s="110"/>
      <c r="H85" s="110"/>
      <c r="I85" s="142"/>
      <c r="J85" s="112"/>
      <c r="K85"/>
      <c r="L85" s="53"/>
      <c r="M85" s="53"/>
      <c r="N85" s="53"/>
      <c r="O85" s="46"/>
      <c r="P85" s="46"/>
    </row>
    <row r="86" spans="3:16">
      <c r="C86" s="137"/>
      <c r="D86" s="137"/>
      <c r="E86" s="137"/>
      <c r="F86" s="137"/>
      <c r="G86" s="110"/>
      <c r="H86" s="110"/>
      <c r="I86" s="142"/>
      <c r="J86" s="112"/>
      <c r="K86"/>
      <c r="L86" s="53"/>
      <c r="M86" s="53"/>
      <c r="N86" s="53"/>
      <c r="O86" s="46"/>
      <c r="P86" s="46"/>
    </row>
    <row r="87" spans="3:16">
      <c r="C87" s="137"/>
      <c r="D87" s="137"/>
      <c r="E87" s="137"/>
      <c r="F87" s="137"/>
      <c r="G87" s="110"/>
      <c r="H87" s="110"/>
      <c r="I87" s="142"/>
      <c r="J87" s="112"/>
      <c r="K87"/>
      <c r="L87" s="53"/>
      <c r="M87" s="53"/>
      <c r="N87" s="53"/>
      <c r="O87" s="46"/>
      <c r="P87" s="46"/>
    </row>
    <row r="88" spans="3:16">
      <c r="C88" s="137"/>
      <c r="D88" s="137"/>
      <c r="E88" s="137"/>
      <c r="F88" s="137"/>
      <c r="G88" s="110"/>
      <c r="H88" s="110"/>
      <c r="I88" s="142"/>
      <c r="J88" s="112"/>
      <c r="K88"/>
      <c r="L88" s="53"/>
      <c r="M88" s="53"/>
      <c r="N88" s="53"/>
      <c r="O88" s="46"/>
      <c r="P88" s="46"/>
    </row>
    <row r="89" spans="3:16">
      <c r="C89" s="137"/>
      <c r="D89" s="137"/>
      <c r="E89" s="137"/>
      <c r="F89" s="137"/>
      <c r="G89" s="110"/>
      <c r="H89" s="110"/>
      <c r="I89" s="142"/>
      <c r="J89" s="112"/>
      <c r="K89"/>
      <c r="L89" s="53"/>
      <c r="M89" s="53"/>
      <c r="N89" s="53"/>
      <c r="O89" s="46"/>
      <c r="P89" s="46"/>
    </row>
    <row r="90" spans="3:16">
      <c r="C90" s="137"/>
      <c r="D90" s="137"/>
      <c r="E90" s="137"/>
      <c r="F90" s="137"/>
      <c r="G90" s="110"/>
      <c r="H90" s="110"/>
      <c r="I90" s="142"/>
      <c r="J90" s="112"/>
      <c r="K90"/>
      <c r="L90" s="53"/>
      <c r="M90" s="53"/>
      <c r="N90" s="53"/>
      <c r="O90" s="46"/>
      <c r="P90" s="46"/>
    </row>
    <row r="91" spans="3:16">
      <c r="C91" s="137"/>
      <c r="D91" s="137"/>
      <c r="E91" s="137"/>
      <c r="F91" s="137"/>
      <c r="G91" s="110"/>
      <c r="H91" s="110"/>
      <c r="I91" s="142"/>
      <c r="J91" s="112"/>
      <c r="K91"/>
      <c r="L91" s="53"/>
      <c r="M91" s="53"/>
      <c r="N91" s="53"/>
      <c r="O91" s="46"/>
      <c r="P91" s="46"/>
    </row>
    <row r="92" spans="3:16">
      <c r="C92" s="137"/>
      <c r="D92" s="137"/>
      <c r="E92" s="137"/>
      <c r="F92" s="137"/>
      <c r="G92" s="110"/>
      <c r="H92" s="110"/>
      <c r="I92" s="142"/>
      <c r="J92" s="112"/>
      <c r="K92"/>
      <c r="L92" s="53"/>
      <c r="M92" s="53"/>
      <c r="N92" s="53"/>
      <c r="O92" s="46"/>
      <c r="P92" s="46"/>
    </row>
    <row r="93" spans="3:16">
      <c r="C93" s="137"/>
      <c r="D93" s="137"/>
      <c r="E93" s="137"/>
      <c r="F93" s="137"/>
      <c r="G93" s="110"/>
      <c r="H93" s="110"/>
      <c r="I93" s="142"/>
      <c r="J93" s="112"/>
      <c r="K93"/>
      <c r="L93" s="53"/>
      <c r="M93" s="53"/>
      <c r="N93" s="53"/>
      <c r="O93" s="46"/>
      <c r="P93" s="46"/>
    </row>
    <row r="94" spans="3:16">
      <c r="C94" s="137"/>
      <c r="D94" s="137"/>
      <c r="E94" s="137"/>
      <c r="F94" s="137"/>
      <c r="G94" s="110"/>
      <c r="H94" s="110"/>
      <c r="I94" s="142"/>
      <c r="J94" s="112"/>
      <c r="K94"/>
      <c r="L94" s="53"/>
      <c r="M94" s="53"/>
      <c r="N94" s="53"/>
      <c r="O94" s="46"/>
      <c r="P94" s="46"/>
    </row>
    <row r="95" spans="3:16">
      <c r="C95" s="137"/>
      <c r="D95" s="137"/>
      <c r="E95" s="137"/>
      <c r="F95" s="137"/>
      <c r="G95" s="110"/>
      <c r="H95" s="110"/>
      <c r="I95" s="142"/>
      <c r="J95" s="112"/>
      <c r="K95"/>
      <c r="L95" s="53"/>
      <c r="M95" s="53"/>
      <c r="N95" s="53"/>
      <c r="O95" s="46"/>
      <c r="P95" s="46"/>
    </row>
    <row r="96" spans="3:16">
      <c r="C96" s="137"/>
      <c r="D96" s="137"/>
      <c r="E96" s="137"/>
      <c r="F96" s="137"/>
      <c r="G96" s="110"/>
      <c r="H96" s="110"/>
      <c r="I96" s="142"/>
      <c r="J96" s="112"/>
      <c r="K96"/>
      <c r="L96" s="53"/>
      <c r="M96" s="53"/>
      <c r="N96" s="53"/>
      <c r="O96" s="46"/>
      <c r="P96" s="46"/>
    </row>
    <row r="97" spans="3:16">
      <c r="C97" s="137"/>
      <c r="D97" s="137"/>
      <c r="E97" s="137"/>
      <c r="F97" s="137"/>
      <c r="G97" s="110"/>
      <c r="H97" s="110"/>
      <c r="I97" s="142"/>
      <c r="J97" s="112"/>
      <c r="K97"/>
      <c r="L97" s="53"/>
      <c r="M97" s="53"/>
      <c r="N97" s="53"/>
      <c r="O97" s="46"/>
      <c r="P97" s="46"/>
    </row>
    <row r="98" spans="3:16">
      <c r="C98" s="137"/>
      <c r="D98" s="137"/>
      <c r="E98" s="137"/>
      <c r="F98" s="137"/>
      <c r="G98" s="110"/>
      <c r="H98" s="110"/>
      <c r="I98" s="142"/>
      <c r="J98" s="112"/>
      <c r="K98"/>
      <c r="L98" s="53"/>
      <c r="M98" s="53"/>
      <c r="N98" s="53"/>
      <c r="O98" s="46"/>
      <c r="P98" s="46"/>
    </row>
    <row r="99" spans="3:16">
      <c r="C99" s="137"/>
      <c r="D99" s="137"/>
      <c r="E99" s="137"/>
      <c r="F99" s="137"/>
      <c r="G99" s="110"/>
      <c r="H99" s="110"/>
      <c r="I99" s="142"/>
      <c r="J99" s="112"/>
      <c r="K99"/>
      <c r="L99" s="53"/>
      <c r="M99" s="53"/>
      <c r="N99" s="53"/>
      <c r="O99" s="46"/>
      <c r="P99" s="46"/>
    </row>
    <row r="100" spans="3:16">
      <c r="C100" s="137"/>
      <c r="D100" s="137"/>
      <c r="E100" s="137"/>
      <c r="F100" s="137"/>
      <c r="G100" s="110"/>
      <c r="H100" s="110"/>
      <c r="I100" s="142"/>
      <c r="J100" s="112"/>
      <c r="K100"/>
      <c r="L100" s="53"/>
      <c r="M100" s="53"/>
      <c r="N100" s="53"/>
      <c r="O100" s="46"/>
      <c r="P100" s="46"/>
    </row>
    <row r="101" spans="3:16">
      <c r="C101" s="137"/>
      <c r="D101" s="137"/>
      <c r="E101" s="137"/>
      <c r="F101" s="137"/>
      <c r="G101" s="110"/>
      <c r="H101" s="110"/>
      <c r="I101" s="142"/>
      <c r="J101" s="112"/>
      <c r="K101"/>
      <c r="L101" s="53"/>
      <c r="M101" s="53"/>
      <c r="N101" s="53"/>
      <c r="O101" s="46"/>
      <c r="P101" s="46"/>
    </row>
    <row r="102" spans="3:16">
      <c r="C102" s="137"/>
      <c r="D102" s="137"/>
      <c r="E102" s="137"/>
      <c r="F102" s="137"/>
      <c r="G102" s="110"/>
      <c r="H102" s="110"/>
      <c r="I102" s="142"/>
      <c r="J102" s="112"/>
      <c r="K102"/>
      <c r="L102" s="53"/>
      <c r="M102" s="53"/>
      <c r="N102" s="53"/>
      <c r="O102" s="46"/>
      <c r="P102" s="46"/>
    </row>
    <row r="103" spans="3:16">
      <c r="C103" s="137"/>
      <c r="D103" s="137"/>
      <c r="E103" s="137"/>
      <c r="F103" s="137"/>
      <c r="G103" s="110"/>
      <c r="H103" s="110"/>
      <c r="I103" s="142"/>
      <c r="J103" s="112"/>
      <c r="K103"/>
      <c r="L103" s="53"/>
      <c r="M103" s="53"/>
      <c r="N103" s="53"/>
      <c r="O103" s="46"/>
      <c r="P103" s="46"/>
    </row>
    <row r="104" spans="3:16">
      <c r="C104" s="137"/>
      <c r="D104" s="137"/>
      <c r="E104" s="137"/>
      <c r="F104" s="137"/>
      <c r="G104" s="110"/>
      <c r="H104" s="110"/>
      <c r="I104" s="142"/>
      <c r="J104" s="112"/>
      <c r="K104"/>
      <c r="L104" s="53"/>
      <c r="M104" s="53"/>
      <c r="N104" s="53"/>
      <c r="O104" s="46"/>
      <c r="P104" s="46"/>
    </row>
    <row r="105" spans="3:16">
      <c r="C105" s="137"/>
      <c r="D105" s="137"/>
      <c r="E105" s="137"/>
      <c r="F105" s="137"/>
      <c r="G105" s="110"/>
      <c r="H105" s="110"/>
      <c r="I105" s="142"/>
      <c r="J105" s="112"/>
      <c r="K105"/>
      <c r="L105" s="53"/>
      <c r="M105" s="53"/>
      <c r="N105" s="53"/>
      <c r="O105" s="46"/>
      <c r="P105" s="46"/>
    </row>
    <row r="106" spans="3:16">
      <c r="C106" s="137"/>
      <c r="D106" s="137"/>
      <c r="E106" s="137"/>
      <c r="F106" s="137"/>
      <c r="G106" s="110"/>
      <c r="H106" s="110"/>
      <c r="I106" s="142"/>
      <c r="J106" s="112"/>
      <c r="K106"/>
      <c r="L106" s="53"/>
      <c r="M106" s="53"/>
      <c r="N106" s="53"/>
      <c r="O106" s="46"/>
      <c r="P106" s="46"/>
    </row>
    <row r="107" spans="3:16">
      <c r="C107" s="53"/>
      <c r="D107" s="53"/>
      <c r="E107" s="53"/>
      <c r="F107" s="53"/>
      <c r="G107" s="46"/>
      <c r="I107" s="57"/>
      <c r="J107" s="112"/>
      <c r="K107"/>
      <c r="L107" s="53"/>
      <c r="M107" s="53"/>
      <c r="N107" s="53"/>
      <c r="O107" s="46"/>
      <c r="P107" s="46"/>
    </row>
    <row r="108" spans="3:16">
      <c r="C108" s="53"/>
      <c r="D108" s="53"/>
      <c r="E108" s="53"/>
      <c r="F108" s="53"/>
      <c r="G108" s="46"/>
      <c r="I108" s="57"/>
      <c r="J108" s="112"/>
      <c r="K108"/>
      <c r="L108" s="53"/>
      <c r="M108" s="53"/>
      <c r="N108" s="53"/>
      <c r="O108" s="46"/>
      <c r="P108" s="46"/>
    </row>
    <row r="109" spans="3:16">
      <c r="C109" s="53"/>
      <c r="D109" s="53"/>
      <c r="E109" s="53"/>
      <c r="F109" s="53"/>
      <c r="G109" s="46"/>
      <c r="I109" s="57"/>
      <c r="J109" s="112"/>
      <c r="K109"/>
      <c r="L109" s="53"/>
      <c r="M109" s="53"/>
      <c r="N109" s="53"/>
      <c r="O109" s="46"/>
      <c r="P109" s="46"/>
    </row>
    <row r="110" spans="3:16">
      <c r="C110" s="53"/>
      <c r="D110" s="53"/>
      <c r="E110" s="53"/>
      <c r="F110" s="53"/>
      <c r="G110" s="46"/>
      <c r="I110" s="57"/>
      <c r="J110" s="112"/>
      <c r="K110"/>
      <c r="L110" s="53"/>
      <c r="M110" s="53"/>
      <c r="N110" s="53"/>
      <c r="O110" s="46"/>
      <c r="P110" s="46"/>
    </row>
    <row r="111" spans="3:16">
      <c r="C111" s="53"/>
      <c r="D111" s="53"/>
      <c r="E111" s="53"/>
      <c r="F111" s="53"/>
      <c r="G111" s="46"/>
      <c r="I111" s="57"/>
      <c r="J111" s="112"/>
      <c r="K111"/>
      <c r="L111" s="53"/>
      <c r="M111" s="53"/>
      <c r="N111" s="53"/>
      <c r="O111" s="46"/>
      <c r="P111" s="46"/>
    </row>
    <row r="112" spans="3:16">
      <c r="C112" s="53"/>
      <c r="D112" s="53"/>
      <c r="E112" s="53"/>
      <c r="F112" s="53"/>
      <c r="G112" s="46"/>
      <c r="I112" s="57"/>
      <c r="J112" s="112"/>
      <c r="K112"/>
      <c r="L112" s="53"/>
      <c r="M112" s="53"/>
      <c r="N112" s="53"/>
      <c r="O112" s="46"/>
      <c r="P112" s="46"/>
    </row>
    <row r="113" spans="3:16">
      <c r="C113" s="53"/>
      <c r="D113" s="53"/>
      <c r="E113" s="53"/>
      <c r="F113" s="53"/>
      <c r="G113" s="46"/>
      <c r="I113" s="57"/>
      <c r="J113" s="112"/>
      <c r="K113"/>
      <c r="L113" s="53"/>
      <c r="M113" s="53"/>
      <c r="N113" s="53"/>
      <c r="O113" s="46"/>
      <c r="P113" s="46"/>
    </row>
    <row r="114" spans="3:16">
      <c r="C114" s="53"/>
      <c r="D114" s="53"/>
      <c r="E114" s="53"/>
      <c r="F114" s="53"/>
      <c r="G114" s="46"/>
      <c r="I114" s="57"/>
      <c r="J114" s="112"/>
      <c r="K114"/>
      <c r="L114" s="53"/>
      <c r="M114" s="53"/>
      <c r="N114" s="53"/>
      <c r="O114" s="46"/>
      <c r="P114" s="46"/>
    </row>
    <row r="115" spans="3:16">
      <c r="C115" s="53"/>
      <c r="D115" s="53"/>
      <c r="E115" s="53"/>
      <c r="F115" s="53"/>
      <c r="G115" s="46"/>
      <c r="I115" s="57"/>
      <c r="J115" s="112"/>
      <c r="K115"/>
      <c r="L115" s="53"/>
      <c r="M115" s="53"/>
      <c r="N115" s="53"/>
      <c r="O115" s="46"/>
      <c r="P115" s="46"/>
    </row>
    <row r="116" spans="3:16">
      <c r="C116" s="53"/>
      <c r="D116" s="53"/>
      <c r="E116" s="53"/>
      <c r="F116" s="53"/>
      <c r="G116" s="46"/>
      <c r="I116" s="57"/>
      <c r="J116" s="112"/>
      <c r="K116"/>
      <c r="L116" s="53"/>
      <c r="M116" s="53"/>
      <c r="N116" s="53"/>
      <c r="O116" s="46"/>
      <c r="P116" s="46"/>
    </row>
    <row r="117" spans="3:16">
      <c r="C117" s="53"/>
      <c r="D117" s="53"/>
      <c r="E117" s="53"/>
      <c r="F117" s="53"/>
      <c r="G117" s="46"/>
      <c r="I117" s="57"/>
      <c r="J117" s="112"/>
      <c r="K117"/>
      <c r="L117" s="53"/>
      <c r="M117" s="53"/>
      <c r="N117" s="53"/>
      <c r="O117" s="46"/>
      <c r="P117" s="46"/>
    </row>
    <row r="118" spans="3:16">
      <c r="C118" s="53"/>
      <c r="D118" s="53"/>
      <c r="E118" s="53"/>
      <c r="F118" s="53"/>
      <c r="G118" s="46"/>
      <c r="I118" s="57"/>
      <c r="J118" s="112"/>
      <c r="K118"/>
      <c r="L118" s="53"/>
      <c r="M118" s="53"/>
      <c r="N118" s="53"/>
      <c r="O118" s="46"/>
      <c r="P118" s="46"/>
    </row>
    <row r="119" spans="3:16">
      <c r="C119" s="53"/>
      <c r="D119" s="53"/>
      <c r="E119" s="53"/>
      <c r="F119" s="53"/>
      <c r="G119" s="46"/>
      <c r="I119" s="57"/>
      <c r="J119" s="112"/>
      <c r="K119"/>
      <c r="L119" s="53"/>
      <c r="M119" s="53"/>
      <c r="N119" s="53"/>
      <c r="O119" s="46"/>
      <c r="P119" s="46"/>
    </row>
    <row r="120" spans="3:16">
      <c r="C120" s="53"/>
      <c r="D120" s="53"/>
      <c r="E120" s="53"/>
      <c r="F120" s="53"/>
      <c r="G120" s="46"/>
      <c r="I120" s="57"/>
      <c r="J120" s="112"/>
      <c r="K120"/>
      <c r="L120" s="53"/>
      <c r="M120" s="53"/>
      <c r="N120" s="53"/>
      <c r="O120" s="46"/>
      <c r="P120" s="46"/>
    </row>
    <row r="121" spans="3:16">
      <c r="C121" s="53"/>
      <c r="D121" s="53"/>
      <c r="E121" s="53"/>
      <c r="F121" s="53"/>
      <c r="G121" s="46"/>
      <c r="I121" s="57"/>
      <c r="J121" s="112"/>
      <c r="K121"/>
      <c r="L121" s="53"/>
      <c r="M121" s="53"/>
      <c r="N121" s="53"/>
      <c r="O121" s="46"/>
      <c r="P121" s="46"/>
    </row>
    <row r="122" spans="3:16">
      <c r="C122" s="53"/>
      <c r="D122" s="53"/>
      <c r="E122" s="53"/>
      <c r="F122" s="53"/>
      <c r="G122" s="46"/>
      <c r="I122" s="57"/>
      <c r="J122" s="112"/>
      <c r="K122"/>
      <c r="L122" s="53"/>
      <c r="M122" s="53"/>
      <c r="N122" s="53"/>
      <c r="O122" s="46"/>
      <c r="P122" s="46"/>
    </row>
    <row r="123" spans="3:16">
      <c r="C123" s="53"/>
      <c r="D123" s="53"/>
      <c r="E123" s="53"/>
      <c r="F123" s="53"/>
      <c r="G123" s="46"/>
      <c r="I123" s="57"/>
      <c r="J123" s="112"/>
      <c r="K123"/>
      <c r="L123" s="53"/>
      <c r="M123" s="53"/>
      <c r="N123" s="53"/>
      <c r="O123" s="46"/>
      <c r="P123" s="46"/>
    </row>
    <row r="124" spans="3:16">
      <c r="H124" s="53"/>
      <c r="I124" s="53"/>
      <c r="J124" s="53"/>
      <c r="K124" s="53"/>
      <c r="L124" s="53"/>
    </row>
    <row r="125" spans="3:16">
      <c r="H125" s="53"/>
      <c r="I125" s="53"/>
      <c r="J125" s="53"/>
      <c r="K125" s="53"/>
      <c r="L125" s="53"/>
    </row>
    <row r="126" spans="3:16">
      <c r="H126" s="53"/>
      <c r="I126" s="53"/>
      <c r="J126" s="53"/>
      <c r="K126" s="53"/>
      <c r="L126" s="53"/>
    </row>
    <row r="127" spans="3:16">
      <c r="H127" s="53"/>
      <c r="I127" s="53"/>
      <c r="J127" s="53"/>
      <c r="K127" s="53"/>
      <c r="L127" s="53"/>
    </row>
    <row r="128" spans="3:16">
      <c r="H128" s="53"/>
      <c r="I128" s="53"/>
      <c r="J128" s="53"/>
      <c r="K128" s="53"/>
      <c r="L128" s="53"/>
    </row>
    <row r="129" spans="8:12">
      <c r="H129" s="53"/>
      <c r="I129" s="53"/>
      <c r="J129" s="53"/>
      <c r="K129" s="53"/>
      <c r="L129" s="53"/>
    </row>
  </sheetData>
  <mergeCells count="2">
    <mergeCell ref="H7:L7"/>
    <mergeCell ref="N7:P7"/>
  </mergeCells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17"/>
  <sheetViews>
    <sheetView showGridLines="0" view="pageBreakPreview" zoomScale="70" zoomScaleNormal="70" zoomScaleSheetLayoutView="70" workbookViewId="0">
      <selection activeCell="F64" sqref="F64"/>
    </sheetView>
  </sheetViews>
  <sheetFormatPr defaultColWidth="9.140625" defaultRowHeight="15"/>
  <cols>
    <col min="1" max="1" width="5.7109375" style="46" customWidth="1"/>
    <col min="2" max="2" width="8.85546875" style="166" customWidth="1"/>
    <col min="3" max="3" width="65.28515625" style="46" customWidth="1"/>
    <col min="4" max="4" width="13.28515625" style="46" bestFit="1" customWidth="1"/>
    <col min="5" max="5" width="15.28515625" style="46" bestFit="1" customWidth="1"/>
    <col min="6" max="6" width="15" style="110" bestFit="1" customWidth="1"/>
    <col min="7" max="7" width="1.7109375" style="46" customWidth="1"/>
    <col min="8" max="8" width="88.85546875" style="46" bestFit="1" customWidth="1"/>
    <col min="9" max="16384" width="9.140625" style="46"/>
  </cols>
  <sheetData>
    <row r="1" spans="1:8">
      <c r="A1" s="1" t="s">
        <v>126</v>
      </c>
    </row>
    <row r="2" spans="1:8">
      <c r="A2" s="1" t="s">
        <v>28</v>
      </c>
    </row>
    <row r="3" spans="1:8">
      <c r="A3" s="1" t="s">
        <v>108</v>
      </c>
    </row>
    <row r="4" spans="1:8">
      <c r="A4" s="1" t="str">
        <f>'Appendix B - COS'!A4</f>
        <v>Fiscal Year Ending December 31, 2018</v>
      </c>
    </row>
    <row r="5" spans="1:8">
      <c r="A5" s="1" t="str">
        <f>'Appendix B - COS'!A5</f>
        <v>Draft as of July 25, 2019</v>
      </c>
    </row>
    <row r="6" spans="1:8">
      <c r="A6" s="1"/>
    </row>
    <row r="7" spans="1:8">
      <c r="A7" s="4"/>
      <c r="B7" s="167"/>
      <c r="C7" s="48"/>
      <c r="D7" s="82"/>
      <c r="E7" s="82"/>
      <c r="F7" s="82"/>
      <c r="G7" s="48" t="s">
        <v>45</v>
      </c>
    </row>
    <row r="8" spans="1:8">
      <c r="A8" s="9" t="s">
        <v>41</v>
      </c>
      <c r="B8" s="167" t="s">
        <v>87</v>
      </c>
      <c r="C8" s="50"/>
      <c r="D8" s="50" t="s">
        <v>33</v>
      </c>
      <c r="E8" s="61" t="s">
        <v>112</v>
      </c>
      <c r="F8" s="210" t="s">
        <v>113</v>
      </c>
      <c r="G8" s="48"/>
    </row>
    <row r="9" spans="1:8" ht="15.75" thickBot="1">
      <c r="A9" s="11" t="s">
        <v>318</v>
      </c>
      <c r="B9" s="168" t="s">
        <v>319</v>
      </c>
      <c r="C9" s="52" t="s">
        <v>46</v>
      </c>
      <c r="D9" s="52" t="s">
        <v>23</v>
      </c>
      <c r="E9" s="52" t="s">
        <v>180</v>
      </c>
      <c r="F9" s="211" t="s">
        <v>23</v>
      </c>
      <c r="G9" s="48"/>
      <c r="H9" s="52" t="s">
        <v>125</v>
      </c>
    </row>
    <row r="10" spans="1:8">
      <c r="A10" s="4"/>
      <c r="B10" s="169" t="s">
        <v>2</v>
      </c>
      <c r="C10" s="113" t="s">
        <v>3</v>
      </c>
      <c r="D10" s="113" t="s">
        <v>408</v>
      </c>
      <c r="E10" s="113" t="s">
        <v>5</v>
      </c>
      <c r="F10" s="9" t="s">
        <v>409</v>
      </c>
      <c r="H10" s="113" t="s">
        <v>7</v>
      </c>
    </row>
    <row r="11" spans="1:8">
      <c r="F11" s="142"/>
    </row>
    <row r="12" spans="1:8">
      <c r="A12" s="16" t="str">
        <f>IF(ISNUMBER(F12),MAX(A$11:A11)+1, "")</f>
        <v/>
      </c>
      <c r="C12" s="172" t="s">
        <v>335</v>
      </c>
      <c r="D12" s="53"/>
      <c r="E12" s="53"/>
      <c r="F12" s="137"/>
    </row>
    <row r="13" spans="1:8">
      <c r="A13" s="16">
        <f>IF(ISNUMBER(F13),MAX(A$11:A12)+1, "")</f>
        <v>1</v>
      </c>
      <c r="B13" s="165">
        <v>535</v>
      </c>
      <c r="C13" s="134" t="s">
        <v>325</v>
      </c>
      <c r="D13" s="56">
        <v>4219243.7300000004</v>
      </c>
      <c r="E13" s="56">
        <v>0</v>
      </c>
      <c r="F13" s="137">
        <f t="shared" ref="F13:F24" si="0">SUM(D13:E13)</f>
        <v>4219243.7300000004</v>
      </c>
      <c r="H13" s="46" t="s">
        <v>340</v>
      </c>
    </row>
    <row r="14" spans="1:8">
      <c r="A14" s="16">
        <f>IF(ISNUMBER(F14),MAX(A$11:A13)+1, "")</f>
        <v>2</v>
      </c>
      <c r="B14" s="165">
        <v>536</v>
      </c>
      <c r="C14" s="134" t="s">
        <v>330</v>
      </c>
      <c r="D14" s="56">
        <v>3361162.02</v>
      </c>
      <c r="E14" s="56">
        <v>0</v>
      </c>
      <c r="F14" s="137">
        <f t="shared" si="0"/>
        <v>3361162.02</v>
      </c>
      <c r="H14" s="46" t="s">
        <v>340</v>
      </c>
    </row>
    <row r="15" spans="1:8">
      <c r="A15" s="16">
        <f>IF(ISNUMBER(F15),MAX(A$11:A14)+1, "")</f>
        <v>3</v>
      </c>
      <c r="B15" s="165">
        <v>537</v>
      </c>
      <c r="C15" s="134" t="s">
        <v>336</v>
      </c>
      <c r="D15" s="56">
        <v>1776763.64</v>
      </c>
      <c r="E15" s="56">
        <v>0</v>
      </c>
      <c r="F15" s="137">
        <f t="shared" si="0"/>
        <v>1776763.64</v>
      </c>
      <c r="H15" s="46" t="s">
        <v>340</v>
      </c>
    </row>
    <row r="16" spans="1:8">
      <c r="A16" s="16">
        <f>IF(ISNUMBER(F16),MAX(A$11:A15)+1, "")</f>
        <v>4</v>
      </c>
      <c r="B16" s="165">
        <v>538</v>
      </c>
      <c r="C16" s="134" t="s">
        <v>333</v>
      </c>
      <c r="D16" s="56">
        <v>53138.58</v>
      </c>
      <c r="E16" s="56">
        <v>0</v>
      </c>
      <c r="F16" s="137">
        <f t="shared" si="0"/>
        <v>53138.58</v>
      </c>
      <c r="H16" s="46" t="s">
        <v>340</v>
      </c>
    </row>
    <row r="17" spans="1:8">
      <c r="A17" s="16">
        <f>IF(ISNUMBER(F17),MAX(A$11:A16)+1, "")</f>
        <v>5</v>
      </c>
      <c r="B17" s="165">
        <v>539</v>
      </c>
      <c r="C17" s="134" t="s">
        <v>337</v>
      </c>
      <c r="D17" s="56">
        <v>6618470.46</v>
      </c>
      <c r="E17" s="56">
        <v>-2605567.9500000002</v>
      </c>
      <c r="F17" s="137">
        <f t="shared" si="0"/>
        <v>4012902.51</v>
      </c>
      <c r="H17" s="46" t="s">
        <v>340</v>
      </c>
    </row>
    <row r="18" spans="1:8">
      <c r="A18" s="16">
        <f>IF(ISNUMBER(F18),MAX(A$11:A17)+1, "")</f>
        <v>6</v>
      </c>
      <c r="B18" s="165">
        <v>540</v>
      </c>
      <c r="C18" s="134" t="s">
        <v>326</v>
      </c>
      <c r="D18" s="56">
        <v>127623.79</v>
      </c>
      <c r="E18" s="56">
        <v>0</v>
      </c>
      <c r="F18" s="137">
        <f t="shared" si="0"/>
        <v>127623.79</v>
      </c>
      <c r="H18" s="46" t="s">
        <v>340</v>
      </c>
    </row>
    <row r="19" spans="1:8">
      <c r="A19" s="16">
        <f>IF(ISNUMBER(F19),MAX(A$11:A18)+1, "")</f>
        <v>7</v>
      </c>
      <c r="B19" s="165">
        <v>540.1</v>
      </c>
      <c r="C19" s="134" t="s">
        <v>334</v>
      </c>
      <c r="D19" s="56">
        <v>0</v>
      </c>
      <c r="E19" s="56">
        <v>0</v>
      </c>
      <c r="F19" s="137">
        <f t="shared" si="0"/>
        <v>0</v>
      </c>
      <c r="H19" s="46" t="s">
        <v>340</v>
      </c>
    </row>
    <row r="20" spans="1:8">
      <c r="A20" s="16">
        <f>IF(ISNUMBER(F20),MAX(A$11:A19)+1, "")</f>
        <v>8</v>
      </c>
      <c r="B20" s="165">
        <v>541</v>
      </c>
      <c r="C20" s="134" t="s">
        <v>327</v>
      </c>
      <c r="D20" s="56">
        <v>3297121.73</v>
      </c>
      <c r="E20" s="56">
        <v>0</v>
      </c>
      <c r="F20" s="137">
        <f t="shared" si="0"/>
        <v>3297121.73</v>
      </c>
      <c r="H20" s="46" t="s">
        <v>340</v>
      </c>
    </row>
    <row r="21" spans="1:8">
      <c r="A21" s="16">
        <f>IF(ISNUMBER(F21),MAX(A$11:A20)+1, "")</f>
        <v>9</v>
      </c>
      <c r="B21" s="165">
        <v>542</v>
      </c>
      <c r="C21" s="134" t="s">
        <v>328</v>
      </c>
      <c r="D21" s="56">
        <v>78603.890000000014</v>
      </c>
      <c r="E21" s="56">
        <v>0</v>
      </c>
      <c r="F21" s="137">
        <f t="shared" si="0"/>
        <v>78603.890000000014</v>
      </c>
      <c r="H21" s="46" t="s">
        <v>340</v>
      </c>
    </row>
    <row r="22" spans="1:8">
      <c r="A22" s="16">
        <f>IF(ISNUMBER(F22),MAX(A$11:A21)+1, "")</f>
        <v>10</v>
      </c>
      <c r="B22" s="165">
        <v>543</v>
      </c>
      <c r="C22" s="134" t="s">
        <v>331</v>
      </c>
      <c r="D22" s="56">
        <v>2177603.4900000002</v>
      </c>
      <c r="E22" s="56">
        <v>0</v>
      </c>
      <c r="F22" s="137">
        <f t="shared" si="0"/>
        <v>2177603.4900000002</v>
      </c>
      <c r="H22" s="46" t="s">
        <v>340</v>
      </c>
    </row>
    <row r="23" spans="1:8">
      <c r="A23" s="16">
        <f>IF(ISNUMBER(F23),MAX(A$11:A22)+1, "")</f>
        <v>11</v>
      </c>
      <c r="B23" s="165">
        <v>544</v>
      </c>
      <c r="C23" s="134" t="s">
        <v>329</v>
      </c>
      <c r="D23" s="56">
        <v>8778425.8699999992</v>
      </c>
      <c r="E23" s="56">
        <v>0</v>
      </c>
      <c r="F23" s="137">
        <f t="shared" si="0"/>
        <v>8778425.8699999992</v>
      </c>
      <c r="H23" s="46" t="s">
        <v>340</v>
      </c>
    </row>
    <row r="24" spans="1:8">
      <c r="A24" s="16">
        <f>IF(ISNUMBER(F24),MAX(A$11:A23)+1, "")</f>
        <v>12</v>
      </c>
      <c r="B24" s="165">
        <v>545</v>
      </c>
      <c r="C24" s="134" t="s">
        <v>332</v>
      </c>
      <c r="D24" s="56">
        <v>19393909.280000001</v>
      </c>
      <c r="E24" s="56">
        <v>-16204119.65</v>
      </c>
      <c r="F24" s="137">
        <f t="shared" si="0"/>
        <v>3189789.6300000008</v>
      </c>
      <c r="H24" s="46" t="s">
        <v>340</v>
      </c>
    </row>
    <row r="25" spans="1:8">
      <c r="A25" s="16">
        <f>IF(ISNUMBER(F25),MAX(A$11:A24)+1, "")</f>
        <v>13</v>
      </c>
      <c r="B25" s="165">
        <v>545.1</v>
      </c>
      <c r="C25" s="134" t="s">
        <v>309</v>
      </c>
      <c r="D25" s="56">
        <v>0</v>
      </c>
      <c r="E25" s="56">
        <v>0</v>
      </c>
      <c r="F25" s="137">
        <f t="shared" ref="F25" si="1">SUM(D25:E25)</f>
        <v>0</v>
      </c>
    </row>
    <row r="26" spans="1:8">
      <c r="A26" s="16">
        <f>IF(ISNUMBER(F26),MAX(A$11:A25)+1, "")</f>
        <v>14</v>
      </c>
      <c r="C26" s="55" t="s">
        <v>338</v>
      </c>
      <c r="D26" s="60">
        <f>SUM(D13:D25)</f>
        <v>49882066.479999997</v>
      </c>
      <c r="E26" s="60">
        <f t="shared" ref="E26:F26" si="2">SUM(E13:E25)</f>
        <v>-18809687.600000001</v>
      </c>
      <c r="F26" s="60">
        <f t="shared" si="2"/>
        <v>31072378.880000003</v>
      </c>
    </row>
    <row r="27" spans="1:8">
      <c r="A27" s="16" t="str">
        <f>IF(ISNUMBER(F27),MAX(A$11:A26)+1, "")</f>
        <v/>
      </c>
      <c r="C27" s="55"/>
      <c r="D27" s="53"/>
      <c r="E27" s="53"/>
      <c r="F27" s="137"/>
    </row>
    <row r="28" spans="1:8">
      <c r="A28" s="16" t="str">
        <f>IF(ISNUMBER(F28),MAX(A$11:A27)+1, "")</f>
        <v/>
      </c>
      <c r="C28" s="55"/>
      <c r="D28" s="53"/>
      <c r="E28" s="53"/>
      <c r="F28" s="137"/>
    </row>
    <row r="29" spans="1:8">
      <c r="A29" s="16" t="str">
        <f>IF(ISNUMBER(F29),MAX(A$11:A28)+1, "")</f>
        <v/>
      </c>
      <c r="C29" s="171" t="s">
        <v>109</v>
      </c>
      <c r="D29" s="53"/>
      <c r="E29" s="53"/>
      <c r="F29" s="137"/>
    </row>
    <row r="30" spans="1:8">
      <c r="A30" s="16">
        <f>IF(ISNUMBER(F30),MAX(A$11:A29)+1, "")</f>
        <v>15</v>
      </c>
      <c r="B30" s="166">
        <v>560</v>
      </c>
      <c r="C30" s="46" t="s">
        <v>116</v>
      </c>
      <c r="D30" s="56">
        <v>93446.94</v>
      </c>
      <c r="E30" s="56">
        <v>0</v>
      </c>
      <c r="F30" s="137">
        <f t="shared" ref="F30:F44" si="3">D30+E30</f>
        <v>93446.94</v>
      </c>
    </row>
    <row r="31" spans="1:8">
      <c r="A31" s="16">
        <f>IF(ISNUMBER(F31),MAX(A$11:A30)+1, "")</f>
        <v>16</v>
      </c>
      <c r="B31" s="166">
        <v>561</v>
      </c>
      <c r="C31" s="46" t="s">
        <v>117</v>
      </c>
      <c r="D31" s="56">
        <v>5094973.8699999992</v>
      </c>
      <c r="E31" s="56">
        <v>0</v>
      </c>
      <c r="F31" s="137">
        <f t="shared" si="3"/>
        <v>5094973.8699999992</v>
      </c>
    </row>
    <row r="32" spans="1:8">
      <c r="A32" s="16">
        <f>IF(ISNUMBER(F32),MAX(A$11:A31)+1, "")</f>
        <v>17</v>
      </c>
      <c r="B32" s="166">
        <v>562</v>
      </c>
      <c r="C32" s="46" t="s">
        <v>118</v>
      </c>
      <c r="D32" s="56">
        <v>0</v>
      </c>
      <c r="E32" s="56">
        <v>0</v>
      </c>
      <c r="F32" s="137">
        <f t="shared" si="3"/>
        <v>0</v>
      </c>
    </row>
    <row r="33" spans="1:6">
      <c r="A33" s="16">
        <f>IF(ISNUMBER(F33),MAX(A$11:A32)+1, "")</f>
        <v>18</v>
      </c>
      <c r="B33" s="166">
        <v>563</v>
      </c>
      <c r="C33" s="46" t="s">
        <v>119</v>
      </c>
      <c r="D33" s="56">
        <v>0</v>
      </c>
      <c r="E33" s="56">
        <v>0</v>
      </c>
      <c r="F33" s="137">
        <f t="shared" si="3"/>
        <v>0</v>
      </c>
    </row>
    <row r="34" spans="1:6">
      <c r="A34" s="16">
        <f>IF(ISNUMBER(F34),MAX(A$11:A33)+1, "")</f>
        <v>19</v>
      </c>
      <c r="B34" s="166">
        <v>564</v>
      </c>
      <c r="C34" s="46" t="s">
        <v>313</v>
      </c>
      <c r="D34" s="56">
        <v>0</v>
      </c>
      <c r="E34" s="56">
        <v>0</v>
      </c>
      <c r="F34" s="137">
        <f t="shared" si="3"/>
        <v>0</v>
      </c>
    </row>
    <row r="35" spans="1:6">
      <c r="A35" s="16">
        <f>IF(ISNUMBER(F35),MAX(A$11:A34)+1, "")</f>
        <v>20</v>
      </c>
      <c r="B35" s="166">
        <v>565</v>
      </c>
      <c r="C35" s="46" t="s">
        <v>120</v>
      </c>
      <c r="D35" s="56">
        <v>581439.11</v>
      </c>
      <c r="E35" s="56">
        <v>0</v>
      </c>
      <c r="F35" s="137">
        <f t="shared" si="3"/>
        <v>581439.11</v>
      </c>
    </row>
    <row r="36" spans="1:6">
      <c r="A36" s="16">
        <f>IF(ISNUMBER(F36),MAX(A$11:A35)+1, "")</f>
        <v>21</v>
      </c>
      <c r="B36" s="166">
        <v>566</v>
      </c>
      <c r="C36" s="46" t="s">
        <v>121</v>
      </c>
      <c r="D36" s="56">
        <v>177897.02</v>
      </c>
      <c r="E36" s="56">
        <v>0</v>
      </c>
      <c r="F36" s="137">
        <f t="shared" si="3"/>
        <v>177897.02</v>
      </c>
    </row>
    <row r="37" spans="1:6">
      <c r="A37" s="16">
        <f>IF(ISNUMBER(F37),MAX(A$11:A36)+1, "")</f>
        <v>22</v>
      </c>
      <c r="B37" s="166">
        <v>567</v>
      </c>
      <c r="C37" s="46" t="s">
        <v>115</v>
      </c>
      <c r="D37" s="56">
        <v>0</v>
      </c>
      <c r="E37" s="56">
        <v>0</v>
      </c>
      <c r="F37" s="137">
        <f t="shared" si="3"/>
        <v>0</v>
      </c>
    </row>
    <row r="38" spans="1:6">
      <c r="A38" s="16">
        <f>IF(ISNUMBER(F38),MAX(A$11:A37)+1, "")</f>
        <v>23</v>
      </c>
      <c r="B38" s="166">
        <v>568</v>
      </c>
      <c r="C38" s="46" t="s">
        <v>314</v>
      </c>
      <c r="D38" s="56">
        <v>28407.82</v>
      </c>
      <c r="E38" s="56">
        <v>0</v>
      </c>
      <c r="F38" s="137">
        <f t="shared" si="3"/>
        <v>28407.82</v>
      </c>
    </row>
    <row r="39" spans="1:6">
      <c r="A39" s="16">
        <f>IF(ISNUMBER(F39),MAX(A$11:A38)+1, "")</f>
        <v>24</v>
      </c>
      <c r="B39" s="166">
        <v>569</v>
      </c>
      <c r="C39" s="46" t="s">
        <v>456</v>
      </c>
      <c r="D39" s="56">
        <v>0</v>
      </c>
      <c r="E39" s="56">
        <v>0</v>
      </c>
      <c r="F39" s="137">
        <f t="shared" si="3"/>
        <v>0</v>
      </c>
    </row>
    <row r="40" spans="1:6">
      <c r="A40" s="16">
        <f>IF(ISNUMBER(F40),MAX(A$11:A39)+1, "")</f>
        <v>25</v>
      </c>
      <c r="B40" s="166">
        <v>570</v>
      </c>
      <c r="C40" s="46" t="s">
        <v>122</v>
      </c>
      <c r="D40" s="56">
        <v>520435.13</v>
      </c>
      <c r="E40" s="56">
        <v>0</v>
      </c>
      <c r="F40" s="137">
        <f t="shared" si="3"/>
        <v>520435.13</v>
      </c>
    </row>
    <row r="41" spans="1:6">
      <c r="A41" s="16">
        <f>IF(ISNUMBER(F41),MAX(A$11:A40)+1, "")</f>
        <v>26</v>
      </c>
      <c r="B41" s="166">
        <v>571</v>
      </c>
      <c r="C41" s="46" t="s">
        <v>123</v>
      </c>
      <c r="D41" s="56">
        <v>182584.81</v>
      </c>
      <c r="E41" s="56">
        <v>0</v>
      </c>
      <c r="F41" s="137">
        <f t="shared" si="3"/>
        <v>182584.81</v>
      </c>
    </row>
    <row r="42" spans="1:6">
      <c r="A42" s="16">
        <f>IF(ISNUMBER(F42),MAX(A$11:A41)+1, "")</f>
        <v>27</v>
      </c>
      <c r="B42" s="166">
        <v>572</v>
      </c>
      <c r="C42" s="46" t="s">
        <v>457</v>
      </c>
      <c r="D42" s="56">
        <v>0</v>
      </c>
      <c r="E42" s="56">
        <v>0</v>
      </c>
      <c r="F42" s="137">
        <f t="shared" si="3"/>
        <v>0</v>
      </c>
    </row>
    <row r="43" spans="1:6">
      <c r="A43" s="16">
        <f>IF(ISNUMBER(F43),MAX(A$11:A42)+1, "")</f>
        <v>28</v>
      </c>
      <c r="B43" s="166">
        <v>573</v>
      </c>
      <c r="C43" s="46" t="s">
        <v>458</v>
      </c>
      <c r="D43" s="56">
        <v>0</v>
      </c>
      <c r="E43" s="56">
        <v>0</v>
      </c>
      <c r="F43" s="137">
        <f t="shared" si="3"/>
        <v>0</v>
      </c>
    </row>
    <row r="44" spans="1:6">
      <c r="A44" s="16">
        <f>IF(ISNUMBER(F44),MAX(A$11:A43)+1, "")</f>
        <v>29</v>
      </c>
      <c r="B44" s="166">
        <v>574</v>
      </c>
      <c r="C44" s="46" t="s">
        <v>459</v>
      </c>
      <c r="D44" s="56">
        <v>0</v>
      </c>
      <c r="E44" s="56">
        <v>0</v>
      </c>
      <c r="F44" s="137">
        <f t="shared" si="3"/>
        <v>0</v>
      </c>
    </row>
    <row r="45" spans="1:6">
      <c r="A45" s="16">
        <f>IF(ISNUMBER(F45),MAX(A$11:A44)+1, "")</f>
        <v>30</v>
      </c>
      <c r="C45" s="55" t="s">
        <v>110</v>
      </c>
      <c r="D45" s="60">
        <f>SUM(D30:D44)</f>
        <v>6679184.6999999993</v>
      </c>
      <c r="E45" s="60">
        <f>SUM(E30:E44)</f>
        <v>0</v>
      </c>
      <c r="F45" s="60">
        <f>SUM(F30:F44)</f>
        <v>6679184.6999999993</v>
      </c>
    </row>
    <row r="46" spans="1:6">
      <c r="A46" s="16" t="str">
        <f>IF(ISNUMBER(F46),MAX(A$11:A45)+1, "")</f>
        <v/>
      </c>
      <c r="C46" s="55"/>
      <c r="D46" s="77"/>
      <c r="E46" s="77"/>
      <c r="F46" s="135"/>
    </row>
    <row r="47" spans="1:6">
      <c r="A47" s="16" t="str">
        <f>IF(ISNUMBER(F47),MAX(A$11:A46)+1, "")</f>
        <v/>
      </c>
      <c r="C47" s="55"/>
      <c r="D47" s="77"/>
      <c r="E47" s="77"/>
      <c r="F47" s="135"/>
    </row>
    <row r="48" spans="1:6">
      <c r="A48" s="16" t="str">
        <f>IF(ISNUMBER(F48),MAX(A$11:A47)+1, "")</f>
        <v/>
      </c>
      <c r="C48" s="171" t="s">
        <v>277</v>
      </c>
      <c r="D48" s="53"/>
      <c r="E48" s="53"/>
      <c r="F48" s="137"/>
    </row>
    <row r="49" spans="1:8">
      <c r="A49" s="16">
        <f>IF(ISNUMBER(F49),MAX(A$11:A48)+1, "")</f>
        <v>31</v>
      </c>
      <c r="B49" s="165">
        <v>580</v>
      </c>
      <c r="C49" s="46" t="s">
        <v>308</v>
      </c>
      <c r="D49" s="56">
        <v>140617.35999999999</v>
      </c>
      <c r="E49" s="56">
        <v>0</v>
      </c>
      <c r="F49" s="137">
        <f t="shared" ref="F49:F62" si="4">D49+E49</f>
        <v>140617.35999999999</v>
      </c>
    </row>
    <row r="50" spans="1:8">
      <c r="A50" s="16">
        <f>IF(ISNUMBER(F50),MAX(A$11:A49)+1, "")</f>
        <v>32</v>
      </c>
      <c r="B50" s="165">
        <v>581</v>
      </c>
      <c r="C50" s="46" t="s">
        <v>310</v>
      </c>
      <c r="D50" s="56">
        <v>1089.0899999999999</v>
      </c>
      <c r="E50" s="56">
        <v>0</v>
      </c>
      <c r="F50" s="137">
        <f t="shared" si="4"/>
        <v>1089.0899999999999</v>
      </c>
    </row>
    <row r="51" spans="1:8">
      <c r="A51" s="16">
        <f>IF(ISNUMBER(F51),MAX(A$11:A50)+1, "")</f>
        <v>33</v>
      </c>
      <c r="B51" s="165">
        <v>582</v>
      </c>
      <c r="C51" s="46" t="s">
        <v>311</v>
      </c>
      <c r="D51" s="56">
        <v>235741.51</v>
      </c>
      <c r="E51" s="56">
        <v>0</v>
      </c>
      <c r="F51" s="137">
        <f t="shared" si="4"/>
        <v>235741.51</v>
      </c>
    </row>
    <row r="52" spans="1:8">
      <c r="A52" s="16">
        <f>IF(ISNUMBER(F52),MAX(A$11:A51)+1, "")</f>
        <v>34</v>
      </c>
      <c r="B52" s="165">
        <v>583</v>
      </c>
      <c r="C52" s="46" t="s">
        <v>312</v>
      </c>
      <c r="D52" s="56">
        <v>13423.94</v>
      </c>
      <c r="E52" s="56">
        <v>0</v>
      </c>
      <c r="F52" s="137">
        <f t="shared" si="4"/>
        <v>13423.94</v>
      </c>
    </row>
    <row r="53" spans="1:8">
      <c r="A53" s="16">
        <f>IF(ISNUMBER(F53),MAX(A$11:A52)+1, "")</f>
        <v>35</v>
      </c>
      <c r="B53" s="165">
        <v>584</v>
      </c>
      <c r="C53" s="46" t="s">
        <v>313</v>
      </c>
      <c r="D53" s="56">
        <v>12094.97</v>
      </c>
      <c r="E53" s="56">
        <v>0</v>
      </c>
      <c r="F53" s="137">
        <f t="shared" si="4"/>
        <v>12094.97</v>
      </c>
    </row>
    <row r="54" spans="1:8">
      <c r="A54" s="16">
        <f>IF(ISNUMBER(F54),MAX(A$11:A53)+1, "")</f>
        <v>36</v>
      </c>
      <c r="B54" s="165">
        <v>586</v>
      </c>
      <c r="C54" s="46" t="s">
        <v>320</v>
      </c>
      <c r="D54" s="56">
        <v>0</v>
      </c>
      <c r="E54" s="56">
        <v>0</v>
      </c>
      <c r="F54" s="137">
        <f t="shared" si="4"/>
        <v>0</v>
      </c>
    </row>
    <row r="55" spans="1:8">
      <c r="A55" s="16">
        <f>IF(ISNUMBER(F55),MAX(A$11:A54)+1, "")</f>
        <v>37</v>
      </c>
      <c r="B55" s="165">
        <v>587</v>
      </c>
      <c r="C55" s="46" t="s">
        <v>321</v>
      </c>
      <c r="D55" s="56">
        <v>485547.4</v>
      </c>
      <c r="E55" s="56">
        <v>0</v>
      </c>
      <c r="F55" s="137">
        <f t="shared" si="4"/>
        <v>485547.4</v>
      </c>
    </row>
    <row r="56" spans="1:8">
      <c r="A56" s="16">
        <f>IF(ISNUMBER(F56),MAX(A$11:A55)+1, "")</f>
        <v>38</v>
      </c>
      <c r="B56" s="165">
        <v>588</v>
      </c>
      <c r="C56" s="46" t="s">
        <v>322</v>
      </c>
      <c r="D56" s="56">
        <v>5275842.2299999995</v>
      </c>
      <c r="E56" s="56">
        <v>0</v>
      </c>
      <c r="F56" s="137">
        <f t="shared" si="4"/>
        <v>5275842.2299999995</v>
      </c>
    </row>
    <row r="57" spans="1:8">
      <c r="A57" s="16">
        <f>IF(ISNUMBER(F57),MAX(A$11:A56)+1, "")</f>
        <v>39</v>
      </c>
      <c r="B57" s="165">
        <v>590</v>
      </c>
      <c r="C57" s="46" t="s">
        <v>314</v>
      </c>
      <c r="D57" s="56">
        <v>397709.2</v>
      </c>
      <c r="E57" s="56">
        <v>0</v>
      </c>
      <c r="F57" s="137">
        <f t="shared" si="4"/>
        <v>397709.2</v>
      </c>
    </row>
    <row r="58" spans="1:8">
      <c r="A58" s="16">
        <f>IF(ISNUMBER(F58),MAX(A$11:A57)+1, "")</f>
        <v>40</v>
      </c>
      <c r="B58" s="165">
        <v>592</v>
      </c>
      <c r="C58" s="46" t="s">
        <v>315</v>
      </c>
      <c r="D58" s="56">
        <v>1526913.77</v>
      </c>
      <c r="E58" s="56">
        <v>0</v>
      </c>
      <c r="F58" s="137">
        <f t="shared" si="4"/>
        <v>1526913.77</v>
      </c>
    </row>
    <row r="59" spans="1:8">
      <c r="A59" s="16">
        <f>IF(ISNUMBER(F59),MAX(A$11:A58)+1, "")</f>
        <v>41</v>
      </c>
      <c r="B59" s="165">
        <v>593</v>
      </c>
      <c r="C59" s="46" t="s">
        <v>316</v>
      </c>
      <c r="D59" s="56">
        <v>3108276.64</v>
      </c>
      <c r="E59" s="56">
        <v>0</v>
      </c>
      <c r="F59" s="137">
        <f t="shared" si="4"/>
        <v>3108276.64</v>
      </c>
    </row>
    <row r="60" spans="1:8">
      <c r="A60" s="16">
        <f>IF(ISNUMBER(F60),MAX(A$11:A59)+1, "")</f>
        <v>42</v>
      </c>
      <c r="B60" s="165">
        <v>594</v>
      </c>
      <c r="C60" s="46" t="s">
        <v>317</v>
      </c>
      <c r="D60" s="56">
        <v>2086933.06</v>
      </c>
      <c r="E60" s="56">
        <v>0</v>
      </c>
      <c r="F60" s="137">
        <f t="shared" si="4"/>
        <v>2086933.06</v>
      </c>
    </row>
    <row r="61" spans="1:8">
      <c r="A61" s="16">
        <f>IF(ISNUMBER(F61),MAX(A$11:A60)+1, "")</f>
        <v>43</v>
      </c>
      <c r="B61" s="165">
        <v>596</v>
      </c>
      <c r="C61" s="46" t="s">
        <v>323</v>
      </c>
      <c r="D61" s="56">
        <v>146247.14000000001</v>
      </c>
      <c r="E61" s="56">
        <f>-D61</f>
        <v>-146247.14000000001</v>
      </c>
      <c r="F61" s="137">
        <f t="shared" si="4"/>
        <v>0</v>
      </c>
      <c r="H61" s="46" t="s">
        <v>340</v>
      </c>
    </row>
    <row r="62" spans="1:8">
      <c r="A62" s="16">
        <f>IF(ISNUMBER(F62),MAX(A$11:A61)+1, "")</f>
        <v>44</v>
      </c>
      <c r="B62" s="165">
        <v>597</v>
      </c>
      <c r="C62" s="46" t="s">
        <v>324</v>
      </c>
      <c r="D62" s="56">
        <v>130785.9</v>
      </c>
      <c r="E62" s="56">
        <f>-D62</f>
        <v>-130785.9</v>
      </c>
      <c r="F62" s="137">
        <f t="shared" si="4"/>
        <v>0</v>
      </c>
      <c r="H62" s="46" t="s">
        <v>340</v>
      </c>
    </row>
    <row r="63" spans="1:8">
      <c r="A63" s="16">
        <f>IF(ISNUMBER(F63),MAX(A$11:A62)+1, "")</f>
        <v>45</v>
      </c>
      <c r="C63" s="55" t="s">
        <v>339</v>
      </c>
      <c r="D63" s="60">
        <f>SUM(D49:D62)</f>
        <v>13561222.210000003</v>
      </c>
      <c r="E63" s="60">
        <f>SUM(E49:E62)</f>
        <v>-277033.04000000004</v>
      </c>
      <c r="F63" s="60">
        <f>SUM(F49:F62)</f>
        <v>13284189.170000002</v>
      </c>
    </row>
    <row r="64" spans="1:8">
      <c r="A64" s="16" t="str">
        <f>IF(ISNUMBER(F64),MAX(A$11:A63)+1, "")</f>
        <v/>
      </c>
      <c r="C64" s="55"/>
      <c r="D64" s="77"/>
      <c r="E64" s="77"/>
      <c r="F64" s="135"/>
    </row>
    <row r="65" spans="1:8">
      <c r="A65" s="16" t="str">
        <f>IF(ISNUMBER(F65),MAX(A$11:A64)+1, "")</f>
        <v/>
      </c>
      <c r="D65" s="53"/>
      <c r="E65" s="53"/>
      <c r="F65" s="137"/>
    </row>
    <row r="66" spans="1:8">
      <c r="A66" s="16" t="str">
        <f>IF(ISNUMBER(F66),MAX(A$11:A65)+1, "")</f>
        <v/>
      </c>
      <c r="C66" s="171" t="s">
        <v>348</v>
      </c>
      <c r="D66" s="53"/>
      <c r="E66" s="53"/>
      <c r="F66" s="137"/>
    </row>
    <row r="67" spans="1:8">
      <c r="A67" s="16">
        <f>IF(ISNUMBER(F67),MAX(A$11:A66)+1, "")</f>
        <v>46</v>
      </c>
      <c r="B67" s="165">
        <v>901</v>
      </c>
      <c r="C67" s="76" t="s">
        <v>366</v>
      </c>
      <c r="D67" s="56">
        <v>565041.68999999994</v>
      </c>
      <c r="E67" s="56">
        <v>0</v>
      </c>
      <c r="F67" s="137">
        <f>D67+E67</f>
        <v>565041.68999999994</v>
      </c>
      <c r="H67" s="46" t="s">
        <v>340</v>
      </c>
    </row>
    <row r="68" spans="1:8">
      <c r="A68" s="16">
        <f>IF(ISNUMBER(F68),MAX(A$11:A67)+1, "")</f>
        <v>47</v>
      </c>
      <c r="B68" s="165">
        <v>902</v>
      </c>
      <c r="C68" s="46" t="s">
        <v>381</v>
      </c>
      <c r="D68" s="56">
        <v>829122.75</v>
      </c>
      <c r="E68" s="56">
        <v>0</v>
      </c>
      <c r="F68" s="137">
        <f t="shared" ref="F68:F112" si="5">D68+E68</f>
        <v>829122.75</v>
      </c>
      <c r="H68" s="46" t="s">
        <v>340</v>
      </c>
    </row>
    <row r="69" spans="1:8">
      <c r="A69" s="16">
        <f>IF(ISNUMBER(F69),MAX(A$11:A68)+1, "")</f>
        <v>48</v>
      </c>
      <c r="B69" s="165">
        <v>903</v>
      </c>
      <c r="C69" s="46" t="s">
        <v>382</v>
      </c>
      <c r="D69" s="56">
        <v>2411399.0099999998</v>
      </c>
      <c r="E69" s="56">
        <v>0</v>
      </c>
      <c r="F69" s="137">
        <f t="shared" si="5"/>
        <v>2411399.0099999998</v>
      </c>
      <c r="H69" s="46" t="s">
        <v>340</v>
      </c>
    </row>
    <row r="70" spans="1:8">
      <c r="A70" s="16">
        <f>IF(ISNUMBER(F70),MAX(A$11:A69)+1, "")</f>
        <v>49</v>
      </c>
      <c r="B70" s="165">
        <v>904</v>
      </c>
      <c r="C70" s="46" t="s">
        <v>383</v>
      </c>
      <c r="D70" s="56">
        <v>122513.88</v>
      </c>
      <c r="E70" s="56">
        <v>0</v>
      </c>
      <c r="F70" s="137">
        <f t="shared" si="5"/>
        <v>122513.88</v>
      </c>
      <c r="H70" s="46" t="s">
        <v>340</v>
      </c>
    </row>
    <row r="71" spans="1:8">
      <c r="A71" s="16">
        <f>IF(ISNUMBER(F71),MAX(A$11:A70)+1, "")</f>
        <v>50</v>
      </c>
      <c r="B71" s="165">
        <v>905</v>
      </c>
      <c r="C71" s="46" t="s">
        <v>384</v>
      </c>
      <c r="D71" s="56">
        <v>0</v>
      </c>
      <c r="E71" s="56">
        <v>0</v>
      </c>
      <c r="F71" s="137">
        <f t="shared" si="5"/>
        <v>0</v>
      </c>
      <c r="H71" s="46" t="s">
        <v>340</v>
      </c>
    </row>
    <row r="72" spans="1:8">
      <c r="A72" s="16">
        <f>IF(ISNUMBER(F72),MAX(A$11:A71)+1, "")</f>
        <v>51</v>
      </c>
      <c r="B72" s="165"/>
      <c r="C72" s="55" t="s">
        <v>349</v>
      </c>
      <c r="D72" s="204">
        <f>SUM(D67:D71)</f>
        <v>3928077.3299999996</v>
      </c>
      <c r="E72" s="204">
        <f>SUM(E67:E71)</f>
        <v>0</v>
      </c>
      <c r="F72" s="205">
        <f>SUM(F67:F71)</f>
        <v>3928077.3299999996</v>
      </c>
      <c r="G72" s="47"/>
      <c r="H72" s="46" t="s">
        <v>340</v>
      </c>
    </row>
    <row r="73" spans="1:8">
      <c r="A73" s="16" t="str">
        <f>IF(ISNUMBER(F73),MAX(A$11:A72)+1, "")</f>
        <v/>
      </c>
      <c r="B73" s="165"/>
      <c r="D73" s="47"/>
      <c r="E73" s="47"/>
      <c r="F73" s="112"/>
      <c r="G73" s="47"/>
    </row>
    <row r="74" spans="1:8">
      <c r="A74" s="16" t="str">
        <f>IF(ISNUMBER(F74),MAX(A$11:A73)+1, "")</f>
        <v/>
      </c>
      <c r="B74" s="165"/>
      <c r="D74" s="47"/>
      <c r="E74" s="47"/>
      <c r="F74" s="112"/>
      <c r="G74" s="47"/>
    </row>
    <row r="75" spans="1:8">
      <c r="A75" s="16" t="str">
        <f>IF(ISNUMBER(F75),MAX(A$11:A74)+1, "")</f>
        <v/>
      </c>
      <c r="B75" s="165"/>
      <c r="C75" s="108" t="s">
        <v>347</v>
      </c>
      <c r="D75" s="47"/>
      <c r="E75" s="47"/>
      <c r="F75" s="112"/>
      <c r="G75" s="47"/>
    </row>
    <row r="76" spans="1:8">
      <c r="A76" s="16">
        <f>IF(ISNUMBER(F76),MAX(A$11:A75)+1, "")</f>
        <v>52</v>
      </c>
      <c r="B76" s="165">
        <v>906</v>
      </c>
      <c r="C76" s="76" t="s">
        <v>367</v>
      </c>
      <c r="D76" s="56">
        <v>1282173.01</v>
      </c>
      <c r="E76" s="56">
        <v>0</v>
      </c>
      <c r="F76" s="137">
        <f t="shared" si="5"/>
        <v>1282173.01</v>
      </c>
      <c r="H76" s="46" t="s">
        <v>340</v>
      </c>
    </row>
    <row r="77" spans="1:8">
      <c r="A77" s="16">
        <f>IF(ISNUMBER(F77),MAX(A$11:A76)+1, "")</f>
        <v>53</v>
      </c>
      <c r="B77" s="165">
        <v>907</v>
      </c>
      <c r="C77" s="76" t="s">
        <v>366</v>
      </c>
      <c r="D77" s="56">
        <v>0</v>
      </c>
      <c r="E77" s="56">
        <v>0</v>
      </c>
      <c r="F77" s="137">
        <f t="shared" si="5"/>
        <v>0</v>
      </c>
      <c r="H77" s="46" t="s">
        <v>340</v>
      </c>
    </row>
    <row r="78" spans="1:8">
      <c r="A78" s="16">
        <f>IF(ISNUMBER(F78),MAX(A$11:A77)+1, "")</f>
        <v>54</v>
      </c>
      <c r="B78" s="165">
        <v>908</v>
      </c>
      <c r="C78" s="76" t="s">
        <v>368</v>
      </c>
      <c r="D78" s="56">
        <v>554390.07999999996</v>
      </c>
      <c r="E78" s="56">
        <v>0</v>
      </c>
      <c r="F78" s="137">
        <f t="shared" si="5"/>
        <v>554390.07999999996</v>
      </c>
      <c r="H78" s="46" t="s">
        <v>340</v>
      </c>
    </row>
    <row r="79" spans="1:8">
      <c r="A79" s="16">
        <f>IF(ISNUMBER(F79),MAX(A$11:A78)+1, "")</f>
        <v>55</v>
      </c>
      <c r="B79" s="165">
        <v>909</v>
      </c>
      <c r="C79" s="76" t="s">
        <v>369</v>
      </c>
      <c r="D79" s="56">
        <v>0</v>
      </c>
      <c r="E79" s="56">
        <v>0</v>
      </c>
      <c r="F79" s="137">
        <f t="shared" si="5"/>
        <v>0</v>
      </c>
      <c r="H79" s="46" t="s">
        <v>340</v>
      </c>
    </row>
    <row r="80" spans="1:8">
      <c r="A80" s="16">
        <f>IF(ISNUMBER(F80),MAX(A$11:A79)+1, "")</f>
        <v>56</v>
      </c>
      <c r="B80" s="165">
        <v>910</v>
      </c>
      <c r="C80" s="76" t="s">
        <v>370</v>
      </c>
      <c r="D80" s="56">
        <v>1470.05</v>
      </c>
      <c r="E80" s="56">
        <v>0</v>
      </c>
      <c r="F80" s="137">
        <f t="shared" si="5"/>
        <v>1470.05</v>
      </c>
      <c r="H80" s="46" t="s">
        <v>340</v>
      </c>
    </row>
    <row r="81" spans="1:8">
      <c r="A81" s="16">
        <f>IF(ISNUMBER(F81),MAX(A$11:A80)+1, "")</f>
        <v>57</v>
      </c>
      <c r="B81" s="165"/>
      <c r="C81" s="55" t="s">
        <v>350</v>
      </c>
      <c r="D81" s="204">
        <f>SUM(D76:D80)</f>
        <v>1838033.14</v>
      </c>
      <c r="E81" s="204">
        <f>SUM(E76:E80)</f>
        <v>0</v>
      </c>
      <c r="F81" s="205">
        <f>SUM(F76:F80)</f>
        <v>1838033.14</v>
      </c>
      <c r="G81" s="47"/>
    </row>
    <row r="82" spans="1:8">
      <c r="A82" s="16" t="str">
        <f>IF(ISNUMBER(F82),MAX(A$11:A81)+1, "")</f>
        <v/>
      </c>
      <c r="B82" s="165"/>
      <c r="D82" s="47"/>
      <c r="E82" s="47"/>
      <c r="F82" s="112"/>
      <c r="G82" s="47"/>
    </row>
    <row r="83" spans="1:8">
      <c r="A83" s="16" t="str">
        <f>IF(ISNUMBER(F83),MAX(A$11:A82)+1, "")</f>
        <v/>
      </c>
      <c r="B83" s="165"/>
      <c r="D83" s="47"/>
      <c r="E83" s="47"/>
      <c r="F83" s="112"/>
      <c r="G83" s="47"/>
    </row>
    <row r="84" spans="1:8">
      <c r="A84" s="16" t="str">
        <f>IF(ISNUMBER(F84),MAX(A$11:A83)+1, "")</f>
        <v/>
      </c>
      <c r="B84" s="165"/>
      <c r="C84" s="171" t="s">
        <v>378</v>
      </c>
      <c r="D84" s="47"/>
      <c r="E84" s="47"/>
      <c r="F84" s="112"/>
      <c r="G84" s="47"/>
    </row>
    <row r="85" spans="1:8">
      <c r="A85" s="16">
        <f>IF(ISNUMBER(F85),MAX(A$11:A84)+1, "")</f>
        <v>58</v>
      </c>
      <c r="B85" s="165" t="s">
        <v>376</v>
      </c>
      <c r="C85" s="46" t="s">
        <v>337</v>
      </c>
      <c r="D85" s="56">
        <v>0</v>
      </c>
      <c r="E85" s="56">
        <v>2605567.9500000002</v>
      </c>
      <c r="F85" s="137">
        <f t="shared" ref="F85:F87" si="6">D85+E85</f>
        <v>2605567.9500000002</v>
      </c>
      <c r="H85" s="46" t="s">
        <v>412</v>
      </c>
    </row>
    <row r="86" spans="1:8">
      <c r="A86" s="16">
        <f>IF(ISNUMBER(F86),MAX(A$11:A85)+1, "")</f>
        <v>59</v>
      </c>
      <c r="B86" s="165" t="s">
        <v>377</v>
      </c>
      <c r="C86" s="46" t="s">
        <v>332</v>
      </c>
      <c r="D86" s="56">
        <v>0</v>
      </c>
      <c r="E86" s="56">
        <v>16204119.65</v>
      </c>
      <c r="F86" s="137">
        <f t="shared" si="6"/>
        <v>16204119.65</v>
      </c>
      <c r="H86" s="46" t="s">
        <v>413</v>
      </c>
    </row>
    <row r="87" spans="1:8">
      <c r="A87" s="16">
        <f>IF(ISNUMBER(F87),MAX(A$11:A86)+1, "")</f>
        <v>60</v>
      </c>
      <c r="B87" s="165" t="s">
        <v>380</v>
      </c>
      <c r="C87" s="46" t="s">
        <v>360</v>
      </c>
      <c r="D87" s="56">
        <v>0</v>
      </c>
      <c r="E87" s="56">
        <v>1135678.06</v>
      </c>
      <c r="F87" s="137">
        <f t="shared" si="6"/>
        <v>1135678.06</v>
      </c>
      <c r="H87" s="46" t="s">
        <v>414</v>
      </c>
    </row>
    <row r="88" spans="1:8">
      <c r="A88" s="16">
        <f>IF(ISNUMBER(F88),MAX(A$11:A87)+1, "")</f>
        <v>61</v>
      </c>
      <c r="B88" s="165"/>
      <c r="C88" s="55" t="s">
        <v>379</v>
      </c>
      <c r="D88" s="204">
        <f>SUM(D85:D87)</f>
        <v>0</v>
      </c>
      <c r="E88" s="204">
        <f>SUM(E85:E87)</f>
        <v>19945365.66</v>
      </c>
      <c r="F88" s="204">
        <f>SUM(F85:F87)</f>
        <v>19945365.66</v>
      </c>
      <c r="G88" s="47"/>
    </row>
    <row r="89" spans="1:8">
      <c r="A89" s="16" t="str">
        <f>IF(ISNUMBER(F89),MAX(A$11:A88)+1, "")</f>
        <v/>
      </c>
      <c r="B89" s="165"/>
      <c r="D89" s="47"/>
      <c r="E89" s="47"/>
      <c r="F89" s="112"/>
      <c r="G89" s="47"/>
    </row>
    <row r="90" spans="1:8">
      <c r="A90" s="16" t="str">
        <f>IF(ISNUMBER(F90),MAX(A$11:A89)+1, "")</f>
        <v/>
      </c>
      <c r="B90" s="165"/>
      <c r="D90" s="47"/>
      <c r="E90" s="47"/>
      <c r="F90" s="112"/>
      <c r="G90" s="47"/>
    </row>
    <row r="91" spans="1:8">
      <c r="A91" s="16" t="str">
        <f>IF(ISNUMBER(F91),MAX(A$11:A90)+1, "")</f>
        <v/>
      </c>
      <c r="B91" s="165"/>
      <c r="C91" s="171" t="s">
        <v>386</v>
      </c>
    </row>
    <row r="92" spans="1:8">
      <c r="A92" s="16">
        <f>IF(ISNUMBER(F92),MAX(A$11:A91)+1, "")</f>
        <v>62</v>
      </c>
      <c r="B92" s="165" t="s">
        <v>385</v>
      </c>
      <c r="C92" s="46" t="s">
        <v>365</v>
      </c>
      <c r="D92" s="56">
        <v>0</v>
      </c>
      <c r="E92" s="56">
        <v>1733337.8299999998</v>
      </c>
      <c r="F92" s="137">
        <f t="shared" ref="F92:F93" si="7">D92+E92</f>
        <v>1733337.8299999998</v>
      </c>
      <c r="H92" s="46" t="s">
        <v>410</v>
      </c>
    </row>
    <row r="93" spans="1:8">
      <c r="A93" s="16">
        <f>IF(ISNUMBER(F93),MAX(A$11:A92)+1, "")</f>
        <v>63</v>
      </c>
      <c r="B93" s="165" t="s">
        <v>405</v>
      </c>
      <c r="D93" s="56">
        <v>0</v>
      </c>
      <c r="E93" s="56">
        <v>531855.42000000004</v>
      </c>
      <c r="F93" s="137">
        <f t="shared" si="7"/>
        <v>531855.42000000004</v>
      </c>
      <c r="H93" s="46" t="s">
        <v>411</v>
      </c>
    </row>
    <row r="94" spans="1:8">
      <c r="A94" s="16">
        <f>IF(ISNUMBER(F94),MAX(A$11:A93)+1, "")</f>
        <v>64</v>
      </c>
      <c r="B94" s="165"/>
      <c r="C94" s="55" t="s">
        <v>351</v>
      </c>
      <c r="D94" s="204">
        <f>SUM(D92:D93)</f>
        <v>0</v>
      </c>
      <c r="E94" s="204">
        <f>SUM(E92:E93)</f>
        <v>2265193.25</v>
      </c>
      <c r="F94" s="204">
        <f>SUM(F92:F93)</f>
        <v>2265193.25</v>
      </c>
    </row>
    <row r="95" spans="1:8">
      <c r="A95" s="16" t="str">
        <f>IF(ISNUMBER(F95),MAX(A$11:A94)+1, "")</f>
        <v/>
      </c>
      <c r="B95" s="165"/>
    </row>
    <row r="96" spans="1:8">
      <c r="A96" s="16" t="str">
        <f>IF(ISNUMBER(F96),MAX(A$11:A95)+1, "")</f>
        <v/>
      </c>
      <c r="B96" s="165"/>
    </row>
    <row r="97" spans="1:8">
      <c r="A97" s="16" t="str">
        <f>IF(ISNUMBER(F97),MAX(A$11:A96)+1, "")</f>
        <v/>
      </c>
      <c r="B97" s="165"/>
      <c r="C97" s="171" t="s">
        <v>111</v>
      </c>
    </row>
    <row r="98" spans="1:8">
      <c r="A98" s="16">
        <f>IF(ISNUMBER(F98),MAX(A$11:A97)+1, "")</f>
        <v>65</v>
      </c>
      <c r="B98" s="166">
        <v>920</v>
      </c>
      <c r="C98" s="46" t="s">
        <v>352</v>
      </c>
      <c r="D98" s="56">
        <v>1756282.6600000001</v>
      </c>
      <c r="E98" s="56">
        <v>0</v>
      </c>
      <c r="F98" s="137">
        <f t="shared" si="5"/>
        <v>1756282.6600000001</v>
      </c>
    </row>
    <row r="99" spans="1:8">
      <c r="A99" s="16">
        <f>IF(ISNUMBER(F99),MAX(A$11:A98)+1, "")</f>
        <v>66</v>
      </c>
      <c r="B99" s="165">
        <v>921</v>
      </c>
      <c r="C99" s="46" t="s">
        <v>353</v>
      </c>
      <c r="D99" s="56">
        <v>20884610.59</v>
      </c>
      <c r="E99" s="56">
        <v>0</v>
      </c>
      <c r="F99" s="137">
        <f t="shared" si="5"/>
        <v>20884610.59</v>
      </c>
    </row>
    <row r="100" spans="1:8">
      <c r="A100" s="16">
        <f>IF(ISNUMBER(F100),MAX(A$11:A99)+1, "")</f>
        <v>67</v>
      </c>
      <c r="B100" s="165">
        <v>922</v>
      </c>
      <c r="C100" s="46" t="s">
        <v>354</v>
      </c>
      <c r="D100" s="56">
        <v>0</v>
      </c>
      <c r="E100" s="56">
        <v>0</v>
      </c>
      <c r="F100" s="137">
        <f t="shared" si="5"/>
        <v>0</v>
      </c>
    </row>
    <row r="101" spans="1:8">
      <c r="A101" s="16">
        <f>IF(ISNUMBER(F101),MAX(A$11:A100)+1, "")</f>
        <v>68</v>
      </c>
      <c r="B101" s="165">
        <v>923</v>
      </c>
      <c r="C101" s="46" t="s">
        <v>355</v>
      </c>
      <c r="D101" s="56">
        <v>2009100.71</v>
      </c>
      <c r="E101" s="56">
        <v>0</v>
      </c>
      <c r="F101" s="137">
        <f t="shared" si="5"/>
        <v>2009100.71</v>
      </c>
    </row>
    <row r="102" spans="1:8">
      <c r="A102" s="16">
        <f>IF(ISNUMBER(F102),MAX(A$11:A101)+1, "")</f>
        <v>69</v>
      </c>
      <c r="B102" s="165">
        <v>924</v>
      </c>
      <c r="C102" s="46" t="s">
        <v>356</v>
      </c>
      <c r="D102" s="56">
        <v>1076543.73</v>
      </c>
      <c r="E102" s="56">
        <v>0</v>
      </c>
      <c r="F102" s="137">
        <f t="shared" si="5"/>
        <v>1076543.73</v>
      </c>
    </row>
    <row r="103" spans="1:8">
      <c r="A103" s="16">
        <f>IF(ISNUMBER(F103),MAX(A$11:A102)+1, "")</f>
        <v>70</v>
      </c>
      <c r="B103" s="165">
        <v>925</v>
      </c>
      <c r="C103" s="46" t="s">
        <v>357</v>
      </c>
      <c r="D103" s="56">
        <v>3823007.9499999997</v>
      </c>
      <c r="E103" s="56">
        <v>0</v>
      </c>
      <c r="F103" s="137">
        <f t="shared" si="5"/>
        <v>3823007.9499999997</v>
      </c>
    </row>
    <row r="104" spans="1:8">
      <c r="A104" s="16">
        <f>IF(ISNUMBER(F104),MAX(A$11:A103)+1, "")</f>
        <v>71</v>
      </c>
      <c r="B104" s="165">
        <v>926</v>
      </c>
      <c r="C104" s="46" t="s">
        <v>358</v>
      </c>
      <c r="D104" s="56">
        <v>-5815610.6699999999</v>
      </c>
      <c r="E104" s="56">
        <v>0</v>
      </c>
      <c r="F104" s="137">
        <f t="shared" si="5"/>
        <v>-5815610.6699999999</v>
      </c>
    </row>
    <row r="105" spans="1:8">
      <c r="A105" s="16">
        <f>IF(ISNUMBER(F105),MAX(A$11:A104)+1, "")</f>
        <v>72</v>
      </c>
      <c r="B105" s="165">
        <v>927</v>
      </c>
      <c r="C105" s="46" t="s">
        <v>359</v>
      </c>
      <c r="D105" s="56">
        <v>0</v>
      </c>
      <c r="E105" s="56">
        <v>0</v>
      </c>
      <c r="F105" s="137">
        <f t="shared" si="5"/>
        <v>0</v>
      </c>
    </row>
    <row r="106" spans="1:8">
      <c r="A106" s="16">
        <f>IF(ISNUMBER(F106),MAX(A$11:A105)+1, "")</f>
        <v>73</v>
      </c>
      <c r="B106" s="165">
        <v>928</v>
      </c>
      <c r="C106" s="46" t="s">
        <v>360</v>
      </c>
      <c r="D106" s="56">
        <v>2961405.73</v>
      </c>
      <c r="E106" s="56">
        <v>-1135678.06</v>
      </c>
      <c r="F106" s="137">
        <f t="shared" si="5"/>
        <v>1825727.67</v>
      </c>
      <c r="H106" s="46" t="s">
        <v>406</v>
      </c>
    </row>
    <row r="107" spans="1:8">
      <c r="A107" s="16">
        <f>IF(ISNUMBER(F107),MAX(A$11:A106)+1, "")</f>
        <v>74</v>
      </c>
      <c r="B107" s="165">
        <v>929</v>
      </c>
      <c r="C107" s="46" t="s">
        <v>361</v>
      </c>
      <c r="D107" s="56">
        <v>-6370151.1899999995</v>
      </c>
      <c r="E107" s="56">
        <v>0</v>
      </c>
      <c r="F107" s="137">
        <f t="shared" si="5"/>
        <v>-6370151.1899999995</v>
      </c>
    </row>
    <row r="108" spans="1:8">
      <c r="A108" s="16">
        <f>IF(ISNUMBER(F108),MAX(A$11:A107)+1, "")</f>
        <v>75</v>
      </c>
      <c r="B108" s="165">
        <v>930.1</v>
      </c>
      <c r="C108" s="46" t="s">
        <v>362</v>
      </c>
      <c r="D108" s="56">
        <v>1285999.49</v>
      </c>
      <c r="E108" s="56">
        <v>-1285999.49</v>
      </c>
      <c r="F108" s="137">
        <f t="shared" si="5"/>
        <v>0</v>
      </c>
      <c r="H108" s="46" t="s">
        <v>404</v>
      </c>
    </row>
    <row r="109" spans="1:8">
      <c r="A109" s="16">
        <f>IF(ISNUMBER(F109),MAX(A$11:A108)+1, "")</f>
        <v>76</v>
      </c>
      <c r="B109" s="165">
        <v>930.2</v>
      </c>
      <c r="C109" s="46" t="s">
        <v>363</v>
      </c>
      <c r="D109" s="56">
        <v>3453623.4699999997</v>
      </c>
      <c r="E109" s="56">
        <v>-531855.42000000004</v>
      </c>
      <c r="F109" s="137">
        <f t="shared" si="5"/>
        <v>2921768.05</v>
      </c>
      <c r="H109" s="46" t="s">
        <v>438</v>
      </c>
    </row>
    <row r="110" spans="1:8">
      <c r="A110" s="16">
        <f>IF(ISNUMBER(F110),MAX(A$11:A109)+1, "")</f>
        <v>77</v>
      </c>
      <c r="B110" s="165">
        <v>931</v>
      </c>
      <c r="C110" s="46" t="s">
        <v>115</v>
      </c>
      <c r="D110" s="56">
        <v>198972.71000000002</v>
      </c>
      <c r="E110" s="56">
        <v>0</v>
      </c>
      <c r="F110" s="137">
        <f t="shared" si="5"/>
        <v>198972.71000000002</v>
      </c>
    </row>
    <row r="111" spans="1:8">
      <c r="A111" s="16">
        <f>IF(ISNUMBER(F111),MAX(A$11:A110)+1, "")</f>
        <v>78</v>
      </c>
      <c r="B111" s="165">
        <v>933</v>
      </c>
      <c r="C111" s="46" t="s">
        <v>364</v>
      </c>
      <c r="D111" s="56">
        <v>0</v>
      </c>
      <c r="E111" s="56">
        <v>0</v>
      </c>
      <c r="F111" s="137">
        <f t="shared" si="5"/>
        <v>0</v>
      </c>
    </row>
    <row r="112" spans="1:8">
      <c r="A112" s="16">
        <f>IF(ISNUMBER(F112),MAX(A$11:A111)+1, "")</f>
        <v>79</v>
      </c>
      <c r="B112" s="165">
        <v>935</v>
      </c>
      <c r="C112" s="46" t="s">
        <v>365</v>
      </c>
      <c r="D112" s="56">
        <v>11520071.52</v>
      </c>
      <c r="E112" s="56">
        <v>-1733337.83</v>
      </c>
      <c r="F112" s="137">
        <f t="shared" si="5"/>
        <v>9786733.6899999995</v>
      </c>
      <c r="H112" s="46" t="s">
        <v>439</v>
      </c>
    </row>
    <row r="113" spans="1:6">
      <c r="A113" s="16">
        <f>IF(ISNUMBER(F113),MAX(A$11:A112)+1, "")</f>
        <v>80</v>
      </c>
      <c r="C113" s="55" t="s">
        <v>114</v>
      </c>
      <c r="D113" s="60">
        <f>SUM(D98:D112)</f>
        <v>36783856.699999996</v>
      </c>
      <c r="E113" s="60">
        <f>SUM(E98:E112)</f>
        <v>-4686870.8</v>
      </c>
      <c r="F113" s="60">
        <f>SUM(F98:F112)</f>
        <v>32096985.900000006</v>
      </c>
    </row>
    <row r="114" spans="1:6">
      <c r="A114" s="16" t="str">
        <f>IF(ISNUMBER(F114),MAX(A$11:A113)+1, "")</f>
        <v/>
      </c>
      <c r="D114" s="53"/>
      <c r="E114" s="53"/>
      <c r="F114" s="137"/>
    </row>
    <row r="115" spans="1:6">
      <c r="A115" s="9" t="s">
        <v>102</v>
      </c>
      <c r="B115" s="170"/>
      <c r="D115" s="53"/>
      <c r="E115" s="53"/>
      <c r="F115" s="137"/>
    </row>
    <row r="116" spans="1:6">
      <c r="A116" s="9" t="s">
        <v>103</v>
      </c>
      <c r="B116" s="127" t="s">
        <v>422</v>
      </c>
      <c r="D116" s="53"/>
      <c r="E116" s="53"/>
      <c r="F116" s="137"/>
    </row>
    <row r="117" spans="1:6">
      <c r="A117" s="16"/>
      <c r="D117" s="53"/>
      <c r="E117" s="53"/>
      <c r="F117" s="137"/>
    </row>
  </sheetData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  <rowBreaks count="1" manualBreakCount="1">
    <brk id="6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76"/>
  <sheetViews>
    <sheetView showGridLines="0" tabSelected="1" view="pageBreakPreview" zoomScale="60" zoomScaleNormal="70" workbookViewId="0">
      <selection activeCell="F64" sqref="F64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40.5703125" style="46" bestFit="1" customWidth="1"/>
    <col min="5" max="5" width="1.7109375" style="46" customWidth="1"/>
    <col min="6" max="6" width="57" style="46" bestFit="1" customWidth="1"/>
    <col min="7" max="7" width="1.7109375" style="47" customWidth="1"/>
    <col min="8" max="8" width="13.42578125" style="46" bestFit="1" customWidth="1"/>
    <col min="9" max="9" width="17.5703125" style="46" bestFit="1" customWidth="1"/>
    <col min="10" max="10" width="13" style="46" customWidth="1"/>
    <col min="11" max="11" width="2.7109375" style="46" bestFit="1" customWidth="1"/>
    <col min="12" max="12" width="18.7109375" style="46" bestFit="1" customWidth="1"/>
    <col min="13" max="13" width="16.5703125" style="46" bestFit="1" customWidth="1"/>
    <col min="14" max="14" width="15.5703125" style="46" bestFit="1" customWidth="1"/>
    <col min="15" max="15" width="4.7109375" style="46" customWidth="1"/>
    <col min="16" max="16" width="18.7109375" style="46" bestFit="1" customWidth="1"/>
    <col min="17" max="17" width="16.5703125" style="46" bestFit="1" customWidth="1"/>
    <col min="18" max="18" width="15.5703125" style="46" bestFit="1" customWidth="1"/>
    <col min="19" max="19" width="12.7109375" style="46" bestFit="1" customWidth="1"/>
    <col min="20" max="16384" width="9.140625" style="46"/>
  </cols>
  <sheetData>
    <row r="1" spans="1:19">
      <c r="A1" s="1" t="s">
        <v>151</v>
      </c>
      <c r="B1" s="1"/>
    </row>
    <row r="2" spans="1:19">
      <c r="A2" s="1" t="str">
        <f>'Appendix B - COS'!$A$2</f>
        <v>Grant County Public Utility District</v>
      </c>
      <c r="B2" s="1"/>
    </row>
    <row r="3" spans="1:19">
      <c r="A3" s="1" t="s">
        <v>144</v>
      </c>
      <c r="B3" s="1"/>
    </row>
    <row r="4" spans="1:19">
      <c r="A4" s="1" t="str">
        <f>'Appendix B - COS'!$A$4</f>
        <v>Fiscal Year Ending December 31, 2018</v>
      </c>
      <c r="B4" s="1"/>
    </row>
    <row r="5" spans="1:19">
      <c r="A5" s="1" t="str">
        <f>'Appendix B - COS'!$A$5</f>
        <v>Draft as of July 25, 2019</v>
      </c>
      <c r="B5" s="1"/>
    </row>
    <row r="6" spans="1:19">
      <c r="A6" s="1"/>
      <c r="B6" s="1"/>
    </row>
    <row r="7" spans="1:19" ht="14.45" customHeight="1">
      <c r="A7" s="4"/>
      <c r="B7" s="4"/>
      <c r="C7" s="48"/>
      <c r="D7" s="48"/>
      <c r="E7" s="48"/>
      <c r="F7" s="48"/>
      <c r="G7" s="49"/>
      <c r="H7" s="262"/>
      <c r="I7" s="262"/>
      <c r="J7" s="262"/>
      <c r="K7" s="48" t="s">
        <v>45</v>
      </c>
      <c r="L7" s="264" t="s">
        <v>437</v>
      </c>
      <c r="M7" s="264"/>
      <c r="N7" s="264"/>
      <c r="O7" s="264"/>
      <c r="P7" s="264" t="s">
        <v>436</v>
      </c>
      <c r="Q7" s="264"/>
      <c r="R7" s="264"/>
      <c r="S7" s="264"/>
    </row>
    <row r="8" spans="1:19">
      <c r="A8" s="9" t="s">
        <v>41</v>
      </c>
      <c r="B8" s="9"/>
      <c r="C8" s="50" t="s">
        <v>87</v>
      </c>
      <c r="D8" s="50"/>
      <c r="E8" s="50"/>
      <c r="F8" s="50"/>
      <c r="G8" s="51"/>
      <c r="H8" s="50" t="s">
        <v>33</v>
      </c>
      <c r="I8" s="61" t="s">
        <v>112</v>
      </c>
      <c r="J8" s="50" t="s">
        <v>113</v>
      </c>
      <c r="K8" s="48"/>
      <c r="L8" s="259"/>
      <c r="M8" s="259"/>
      <c r="N8" s="259"/>
      <c r="O8" s="116"/>
      <c r="P8" s="259"/>
      <c r="Q8" s="259"/>
      <c r="R8" s="259"/>
      <c r="S8" s="259"/>
    </row>
    <row r="9" spans="1:19" ht="15.75" thickBot="1">
      <c r="A9" s="11" t="s">
        <v>1</v>
      </c>
      <c r="B9" s="12"/>
      <c r="C9" s="52" t="s">
        <v>88</v>
      </c>
      <c r="D9" s="52" t="s">
        <v>46</v>
      </c>
      <c r="E9" s="50"/>
      <c r="F9" s="52" t="s">
        <v>47</v>
      </c>
      <c r="G9" s="51"/>
      <c r="H9" s="52" t="s">
        <v>23</v>
      </c>
      <c r="I9" s="52" t="s">
        <v>180</v>
      </c>
      <c r="J9" s="52" t="s">
        <v>23</v>
      </c>
      <c r="K9" s="48"/>
      <c r="L9" s="211" t="s">
        <v>30</v>
      </c>
      <c r="M9" s="211" t="s">
        <v>257</v>
      </c>
      <c r="N9" s="211" t="s">
        <v>298</v>
      </c>
      <c r="O9" s="116"/>
      <c r="P9" s="211" t="s">
        <v>30</v>
      </c>
      <c r="Q9" s="211" t="s">
        <v>257</v>
      </c>
      <c r="R9" s="211" t="s">
        <v>298</v>
      </c>
      <c r="S9" s="211" t="s">
        <v>33</v>
      </c>
    </row>
    <row r="10" spans="1:19">
      <c r="A10" s="4"/>
      <c r="B10" s="4"/>
      <c r="C10" s="113" t="s">
        <v>2</v>
      </c>
      <c r="D10" s="113" t="s">
        <v>3</v>
      </c>
      <c r="F10" s="113" t="s">
        <v>4</v>
      </c>
      <c r="G10" s="46"/>
      <c r="H10" s="113" t="s">
        <v>5</v>
      </c>
      <c r="I10" s="113" t="s">
        <v>6</v>
      </c>
      <c r="J10" s="113" t="s">
        <v>7</v>
      </c>
      <c r="L10" s="9" t="s">
        <v>106</v>
      </c>
      <c r="M10" s="9" t="s">
        <v>107</v>
      </c>
      <c r="N10" s="9" t="s">
        <v>181</v>
      </c>
      <c r="O10" s="110"/>
      <c r="P10" s="9" t="s">
        <v>212</v>
      </c>
      <c r="Q10" s="9" t="s">
        <v>213</v>
      </c>
      <c r="R10" s="9" t="s">
        <v>214</v>
      </c>
      <c r="S10" s="9" t="s">
        <v>215</v>
      </c>
    </row>
    <row r="11" spans="1:19">
      <c r="J11" s="57"/>
      <c r="L11" s="110"/>
      <c r="M11" s="110"/>
      <c r="N11" s="110"/>
      <c r="O11" s="110"/>
      <c r="P11" s="142" t="s">
        <v>441</v>
      </c>
      <c r="Q11" s="142" t="s">
        <v>442</v>
      </c>
      <c r="R11" s="142" t="s">
        <v>443</v>
      </c>
      <c r="S11" s="142" t="s">
        <v>444</v>
      </c>
    </row>
    <row r="12" spans="1:19">
      <c r="H12" s="137"/>
      <c r="I12" s="137"/>
      <c r="J12" s="137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>
      <c r="D13" s="48" t="s">
        <v>145</v>
      </c>
      <c r="H13" s="155"/>
      <c r="I13" s="155"/>
      <c r="J13" s="155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>
      <c r="A14" s="16">
        <f>IF(ISNUMBER(H14),MAX(A$11:A13)+1,"" )</f>
        <v>1</v>
      </c>
      <c r="C14" s="46">
        <v>154</v>
      </c>
      <c r="D14" s="46" t="s">
        <v>149</v>
      </c>
      <c r="F14" s="76" t="s">
        <v>146</v>
      </c>
      <c r="H14" s="56">
        <v>16397481.700000001</v>
      </c>
      <c r="I14" s="56">
        <v>0</v>
      </c>
      <c r="J14" s="137">
        <f>H14+I14</f>
        <v>16397481.700000001</v>
      </c>
      <c r="K14" s="110"/>
      <c r="L14" s="119">
        <f>'Exh I - Allocators'!L35</f>
        <v>0.14803764489174498</v>
      </c>
      <c r="M14" s="119">
        <f>'Exh I - Allocators'!L36</f>
        <v>0.22663847043140981</v>
      </c>
      <c r="N14" s="119">
        <f>'Exh I - Allocators'!L37+'Exh I - Allocators'!L34</f>
        <v>0.62532388467684519</v>
      </c>
      <c r="O14" s="110"/>
      <c r="P14" s="230">
        <f>$J14*L14</f>
        <v>2427444.5730234869</v>
      </c>
      <c r="Q14" s="230">
        <f>$J14*M14</f>
        <v>3716300.1714150338</v>
      </c>
      <c r="R14" s="230">
        <f>$J14*N14</f>
        <v>10253736.95556148</v>
      </c>
      <c r="S14" s="230">
        <f>SUM(P14:R14)</f>
        <v>16397481.699999999</v>
      </c>
    </row>
    <row r="15" spans="1:19">
      <c r="A15" s="16">
        <f>IF(ISNUMBER(H15),MAX(A$11:A14)+1,"" )</f>
        <v>2</v>
      </c>
      <c r="C15" s="46">
        <v>163</v>
      </c>
      <c r="D15" s="46" t="s">
        <v>150</v>
      </c>
      <c r="F15" s="76" t="s">
        <v>147</v>
      </c>
      <c r="H15" s="56">
        <v>1558130.01</v>
      </c>
      <c r="I15" s="56">
        <v>0</v>
      </c>
      <c r="J15" s="137">
        <f>H15+I15</f>
        <v>1558130.01</v>
      </c>
      <c r="K15" s="110"/>
      <c r="L15" s="119">
        <f>'Exh I - Allocators'!L35</f>
        <v>0.14803764489174498</v>
      </c>
      <c r="M15" s="119">
        <f>'Exh I - Allocators'!L36</f>
        <v>0.22663847043140981</v>
      </c>
      <c r="N15" s="119">
        <f>'Exh I - Allocators'!L37+'Exh I - Allocators'!L34</f>
        <v>0.62532388467684519</v>
      </c>
      <c r="O15" s="110"/>
      <c r="P15" s="230">
        <f t="shared" ref="P15:R15" si="0">$J15*L15</f>
        <v>230661.89711555105</v>
      </c>
      <c r="Q15" s="230">
        <f t="shared" si="0"/>
        <v>353132.20219967724</v>
      </c>
      <c r="R15" s="230">
        <f t="shared" si="0"/>
        <v>974335.9106847716</v>
      </c>
      <c r="S15" s="230">
        <f>SUM(P15:R15)</f>
        <v>1558130.0099999998</v>
      </c>
    </row>
    <row r="16" spans="1:19">
      <c r="A16" s="16">
        <f>IF(ISNUMBER(H16),MAX(A$11:A15)+1,"" )</f>
        <v>3</v>
      </c>
      <c r="D16" s="55" t="s">
        <v>148</v>
      </c>
      <c r="F16" s="46" t="s">
        <v>434</v>
      </c>
      <c r="H16" s="60">
        <f>SUM(H14:H15)</f>
        <v>17955611.710000001</v>
      </c>
      <c r="I16" s="60">
        <f>SUM(I14:I15)</f>
        <v>0</v>
      </c>
      <c r="J16" s="60">
        <f>SUM(J14:J15)</f>
        <v>17955611.710000001</v>
      </c>
      <c r="K16" s="110"/>
      <c r="L16" s="232"/>
      <c r="M16" s="232"/>
      <c r="N16" s="232"/>
      <c r="O16" s="110"/>
      <c r="P16" s="60">
        <f>SUM(P14:P15)</f>
        <v>2658106.4701390378</v>
      </c>
      <c r="Q16" s="60">
        <f>SUM(Q14:Q15)</f>
        <v>4069432.3736147108</v>
      </c>
      <c r="R16" s="60">
        <f>SUM(R14:R15)</f>
        <v>11228072.866246251</v>
      </c>
      <c r="S16" s="60">
        <f>SUM(S14:S15)</f>
        <v>17955611.710000001</v>
      </c>
    </row>
    <row r="17" spans="1:19">
      <c r="A17" s="16" t="str">
        <f>IF(ISNUMBER(H17),MAX(A$11:A16)+1,"" )</f>
        <v/>
      </c>
      <c r="H17" s="137"/>
      <c r="I17" s="137"/>
      <c r="J17" s="137"/>
      <c r="K17" s="110"/>
      <c r="L17" s="119"/>
      <c r="M17" s="119"/>
      <c r="N17" s="119"/>
      <c r="O17" s="110"/>
      <c r="P17" s="137"/>
      <c r="Q17" s="137"/>
      <c r="R17" s="137"/>
      <c r="S17" s="137"/>
    </row>
    <row r="18" spans="1:19">
      <c r="A18" s="16" t="str">
        <f>IF(ISNUMBER(H18),MAX(A$11:A17)+1,"" )</f>
        <v/>
      </c>
      <c r="D18" s="48" t="s">
        <v>18</v>
      </c>
      <c r="H18" s="137"/>
      <c r="I18" s="137"/>
      <c r="J18" s="137"/>
      <c r="K18" s="110"/>
      <c r="L18" s="119"/>
      <c r="M18" s="119"/>
      <c r="N18" s="119"/>
      <c r="O18" s="110"/>
      <c r="P18" s="137"/>
      <c r="Q18" s="137"/>
      <c r="R18" s="137"/>
      <c r="S18" s="137"/>
    </row>
    <row r="19" spans="1:19">
      <c r="A19" s="16">
        <f>IF(ISNUMBER(H19),MAX(A$11:A18)+1,"" )</f>
        <v>4</v>
      </c>
      <c r="C19" s="46">
        <v>165</v>
      </c>
      <c r="D19" s="46" t="s">
        <v>18</v>
      </c>
      <c r="F19" s="76" t="s">
        <v>152</v>
      </c>
      <c r="H19" s="56">
        <v>1584122.98</v>
      </c>
      <c r="I19" s="56"/>
      <c r="J19" s="137">
        <f>H19+I19</f>
        <v>1584122.98</v>
      </c>
      <c r="K19" s="226"/>
      <c r="L19" s="233">
        <v>0</v>
      </c>
      <c r="M19" s="233">
        <v>0</v>
      </c>
      <c r="N19" s="233">
        <v>1</v>
      </c>
      <c r="O19" s="110"/>
      <c r="P19" s="230">
        <f>$J19*L19</f>
        <v>0</v>
      </c>
      <c r="Q19" s="230">
        <f>$J19*M19</f>
        <v>0</v>
      </c>
      <c r="R19" s="230">
        <f>$J19*N19</f>
        <v>1584122.98</v>
      </c>
      <c r="S19" s="230">
        <f>SUM(P19:R19)</f>
        <v>1584122.98</v>
      </c>
    </row>
    <row r="20" spans="1:19">
      <c r="A20" s="16">
        <f>IF(ISNUMBER(H20),MAX(A$11:A19)+1,"" )</f>
        <v>5</v>
      </c>
      <c r="D20" s="55" t="s">
        <v>153</v>
      </c>
      <c r="F20" s="46" t="s">
        <v>435</v>
      </c>
      <c r="H20" s="60">
        <f>SUM(H19:H19)</f>
        <v>1584122.98</v>
      </c>
      <c r="I20" s="60">
        <f>SUM(I19:I19)</f>
        <v>0</v>
      </c>
      <c r="J20" s="60">
        <f>SUM(J19:J19)</f>
        <v>1584122.98</v>
      </c>
      <c r="K20" s="110"/>
      <c r="L20" s="233"/>
      <c r="M20" s="233"/>
      <c r="N20" s="233"/>
      <c r="O20" s="110"/>
      <c r="P20" s="231">
        <f t="shared" ref="P20:R20" si="1">SUM(P19)</f>
        <v>0</v>
      </c>
      <c r="Q20" s="231">
        <f t="shared" si="1"/>
        <v>0</v>
      </c>
      <c r="R20" s="231">
        <f t="shared" si="1"/>
        <v>1584122.98</v>
      </c>
      <c r="S20" s="231">
        <f>SUM(S19)</f>
        <v>1584122.98</v>
      </c>
    </row>
    <row r="21" spans="1:19">
      <c r="A21" s="16" t="str">
        <f>IF(ISNUMBER(H21),MAX(A$11:A20)+1,"" )</f>
        <v/>
      </c>
      <c r="H21" s="155"/>
      <c r="I21" s="155"/>
      <c r="J21" s="155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>
      <c r="A22" s="16" t="str">
        <f>IF(ISNUMBER(H22),MAX(A$11:A21)+1,"" )</f>
        <v/>
      </c>
      <c r="H22" s="137"/>
      <c r="I22" s="137"/>
      <c r="J22" s="137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>
      <c r="A23" s="9" t="s">
        <v>102</v>
      </c>
      <c r="B23" s="4"/>
      <c r="C23" s="2"/>
      <c r="H23" s="137"/>
      <c r="I23" s="137"/>
      <c r="J23" s="137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>
      <c r="A24" s="9" t="s">
        <v>103</v>
      </c>
      <c r="B24" s="4"/>
      <c r="C24" s="2" t="s">
        <v>421</v>
      </c>
      <c r="H24" s="53"/>
      <c r="I24" s="53"/>
      <c r="J24" s="53"/>
    </row>
    <row r="25" spans="1:19">
      <c r="A25" s="9"/>
      <c r="B25" s="4"/>
      <c r="C25" s="2"/>
      <c r="H25" s="53"/>
      <c r="I25" s="53"/>
      <c r="J25" s="53"/>
    </row>
    <row r="26" spans="1:19">
      <c r="H26" s="53"/>
      <c r="I26" s="53"/>
      <c r="J26" s="53"/>
    </row>
    <row r="27" spans="1:19">
      <c r="H27" s="53"/>
      <c r="I27" s="53"/>
      <c r="J27" s="53"/>
    </row>
    <row r="28" spans="1:19">
      <c r="H28" s="53"/>
      <c r="I28" s="53"/>
      <c r="J28" s="53"/>
    </row>
    <row r="29" spans="1:19">
      <c r="H29" s="53"/>
      <c r="I29" s="53"/>
      <c r="J29" s="53"/>
    </row>
    <row r="30" spans="1:19">
      <c r="H30" s="53"/>
      <c r="I30" s="53"/>
      <c r="J30" s="53"/>
    </row>
    <row r="31" spans="1:19">
      <c r="H31" s="53"/>
      <c r="I31" s="53"/>
      <c r="J31" s="53"/>
    </row>
    <row r="32" spans="1:19">
      <c r="H32" s="53"/>
      <c r="I32" s="53"/>
      <c r="J32" s="53"/>
    </row>
    <row r="33" spans="8:10">
      <c r="H33" s="53"/>
      <c r="I33" s="53"/>
      <c r="J33" s="53"/>
    </row>
    <row r="34" spans="8:10">
      <c r="H34" s="53"/>
      <c r="I34" s="53"/>
      <c r="J34" s="53"/>
    </row>
    <row r="35" spans="8:10">
      <c r="H35" s="53"/>
      <c r="I35" s="53"/>
      <c r="J35" s="53"/>
    </row>
    <row r="36" spans="8:10">
      <c r="H36" s="53"/>
      <c r="I36" s="53"/>
      <c r="J36" s="53"/>
    </row>
    <row r="37" spans="8:10">
      <c r="H37" s="53"/>
      <c r="I37" s="53"/>
      <c r="J37" s="53"/>
    </row>
    <row r="38" spans="8:10">
      <c r="H38" s="53"/>
      <c r="I38" s="53"/>
      <c r="J38" s="53"/>
    </row>
    <row r="39" spans="8:10">
      <c r="H39" s="53"/>
      <c r="I39" s="53"/>
      <c r="J39" s="53"/>
    </row>
    <row r="40" spans="8:10">
      <c r="H40" s="53"/>
      <c r="I40" s="53"/>
      <c r="J40" s="53"/>
    </row>
    <row r="41" spans="8:10">
      <c r="H41" s="53"/>
      <c r="I41" s="53"/>
      <c r="J41" s="53"/>
    </row>
    <row r="42" spans="8:10">
      <c r="H42" s="53"/>
      <c r="I42" s="53"/>
      <c r="J42" s="53"/>
    </row>
    <row r="43" spans="8:10">
      <c r="H43" s="53"/>
      <c r="I43" s="53"/>
      <c r="J43" s="53"/>
    </row>
    <row r="44" spans="8:10">
      <c r="H44" s="53"/>
      <c r="I44" s="53"/>
      <c r="J44" s="53"/>
    </row>
    <row r="45" spans="8:10">
      <c r="H45" s="53"/>
      <c r="I45" s="53"/>
      <c r="J45" s="53"/>
    </row>
    <row r="46" spans="8:10">
      <c r="H46" s="53"/>
      <c r="I46" s="53"/>
      <c r="J46" s="53"/>
    </row>
    <row r="47" spans="8:10">
      <c r="H47" s="53"/>
      <c r="I47" s="53"/>
      <c r="J47" s="53"/>
    </row>
    <row r="48" spans="8:10">
      <c r="H48" s="53"/>
      <c r="I48" s="53"/>
      <c r="J48" s="53"/>
    </row>
    <row r="49" spans="8:10">
      <c r="H49" s="53"/>
      <c r="I49" s="53"/>
      <c r="J49" s="53"/>
    </row>
    <row r="50" spans="8:10">
      <c r="H50" s="53"/>
      <c r="I50" s="53"/>
      <c r="J50" s="53"/>
    </row>
    <row r="51" spans="8:10">
      <c r="H51" s="53"/>
      <c r="I51" s="53"/>
      <c r="J51" s="53"/>
    </row>
    <row r="52" spans="8:10">
      <c r="H52" s="53"/>
      <c r="I52" s="53"/>
      <c r="J52" s="53"/>
    </row>
    <row r="53" spans="8:10">
      <c r="H53" s="53"/>
      <c r="I53" s="53"/>
      <c r="J53" s="53"/>
    </row>
    <row r="54" spans="8:10">
      <c r="H54" s="53"/>
      <c r="I54" s="53"/>
      <c r="J54" s="53"/>
    </row>
    <row r="55" spans="8:10">
      <c r="H55" s="53"/>
      <c r="I55" s="53"/>
      <c r="J55" s="53"/>
    </row>
    <row r="56" spans="8:10">
      <c r="H56" s="53"/>
      <c r="I56" s="53"/>
      <c r="J56" s="53"/>
    </row>
    <row r="57" spans="8:10">
      <c r="H57" s="53"/>
      <c r="I57" s="53"/>
      <c r="J57" s="53"/>
    </row>
    <row r="58" spans="8:10">
      <c r="H58" s="53"/>
      <c r="I58" s="53"/>
      <c r="J58" s="53"/>
    </row>
    <row r="59" spans="8:10">
      <c r="H59" s="53"/>
      <c r="I59" s="53"/>
      <c r="J59" s="53"/>
    </row>
    <row r="60" spans="8:10">
      <c r="H60" s="53"/>
      <c r="I60" s="53"/>
      <c r="J60" s="53"/>
    </row>
    <row r="61" spans="8:10">
      <c r="H61" s="53"/>
      <c r="I61" s="53"/>
      <c r="J61" s="53"/>
    </row>
    <row r="62" spans="8:10">
      <c r="H62" s="53"/>
      <c r="I62" s="53"/>
      <c r="J62" s="53"/>
    </row>
    <row r="63" spans="8:10">
      <c r="H63" s="53"/>
      <c r="I63" s="53"/>
      <c r="J63" s="53"/>
    </row>
    <row r="64" spans="8:10">
      <c r="H64" s="53"/>
      <c r="I64" s="53"/>
      <c r="J64" s="53"/>
    </row>
    <row r="65" spans="8:10">
      <c r="H65" s="53"/>
      <c r="I65" s="53"/>
      <c r="J65" s="53"/>
    </row>
    <row r="66" spans="8:10">
      <c r="H66" s="53"/>
      <c r="I66" s="53"/>
      <c r="J66" s="53"/>
    </row>
    <row r="67" spans="8:10">
      <c r="H67" s="53"/>
      <c r="I67" s="53"/>
      <c r="J67" s="53"/>
    </row>
    <row r="68" spans="8:10">
      <c r="H68" s="53"/>
      <c r="I68" s="53"/>
      <c r="J68" s="53"/>
    </row>
    <row r="69" spans="8:10">
      <c r="H69" s="53"/>
      <c r="I69" s="53"/>
      <c r="J69" s="53"/>
    </row>
    <row r="70" spans="8:10">
      <c r="H70" s="53"/>
      <c r="I70" s="53"/>
      <c r="J70" s="53"/>
    </row>
    <row r="71" spans="8:10">
      <c r="H71" s="53"/>
      <c r="I71" s="53"/>
      <c r="J71" s="53"/>
    </row>
    <row r="72" spans="8:10">
      <c r="H72" s="53"/>
      <c r="I72" s="53"/>
      <c r="J72" s="53"/>
    </row>
    <row r="73" spans="8:10">
      <c r="H73" s="53"/>
      <c r="I73" s="53"/>
      <c r="J73" s="53"/>
    </row>
    <row r="74" spans="8:10">
      <c r="H74" s="53"/>
      <c r="I74" s="53"/>
      <c r="J74" s="53"/>
    </row>
    <row r="75" spans="8:10">
      <c r="H75" s="53"/>
      <c r="I75" s="53"/>
      <c r="J75" s="53"/>
    </row>
    <row r="76" spans="8:10">
      <c r="H76" s="53"/>
      <c r="I76" s="53"/>
      <c r="J76" s="53"/>
    </row>
  </sheetData>
  <mergeCells count="3">
    <mergeCell ref="H7:J7"/>
    <mergeCell ref="L7:O7"/>
    <mergeCell ref="P7:S7"/>
  </mergeCells>
  <printOptions horizontalCentered="1"/>
  <pageMargins left="0" right="0" top="0.5" bottom="0.5" header="0.25" footer="0.25"/>
  <pageSetup scale="48" orientation="landscape" horizontalDpi="1200" verticalDpi="1200" r:id="rId1"/>
  <headerFooter>
    <oddHeader>&amp;RREVISED</oddHead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7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4" width="42.28515625" style="46" customWidth="1"/>
    <col min="5" max="5" width="14.85546875" style="46" bestFit="1" customWidth="1"/>
    <col min="6" max="6" width="1.7109375" style="46" customWidth="1"/>
    <col min="7" max="7" width="11.42578125" style="46" customWidth="1"/>
    <col min="8" max="8" width="1.7109375" style="47" customWidth="1"/>
    <col min="9" max="9" width="18.85546875" style="46" bestFit="1" customWidth="1"/>
    <col min="10" max="10" width="9.42578125" style="46" bestFit="1" customWidth="1"/>
    <col min="11" max="16384" width="9.140625" style="46"/>
  </cols>
  <sheetData>
    <row r="1" spans="1:9">
      <c r="A1" s="1" t="s">
        <v>154</v>
      </c>
      <c r="B1" s="1"/>
    </row>
    <row r="2" spans="1:9">
      <c r="A2" s="1" t="str">
        <f>'Appendix B - COS'!$A$2</f>
        <v>Grant County Public Utility District</v>
      </c>
      <c r="B2" s="1"/>
    </row>
    <row r="3" spans="1:9">
      <c r="A3" s="1" t="s">
        <v>21</v>
      </c>
      <c r="B3" s="1"/>
    </row>
    <row r="4" spans="1:9">
      <c r="A4" s="1" t="str">
        <f>'Appendix B - COS'!$A$4</f>
        <v>Fiscal Year Ending December 31, 2018</v>
      </c>
      <c r="B4" s="1"/>
    </row>
    <row r="5" spans="1:9">
      <c r="A5" s="1" t="str">
        <f>'Appendix B - COS'!$A$5</f>
        <v>Draft as of July 25, 2019</v>
      </c>
      <c r="B5" s="1"/>
    </row>
    <row r="6" spans="1:9">
      <c r="A6" s="1"/>
      <c r="B6" s="1"/>
    </row>
    <row r="7" spans="1:9">
      <c r="A7" s="4"/>
      <c r="B7" s="4"/>
      <c r="C7" s="48"/>
      <c r="D7" s="48"/>
      <c r="E7" s="48"/>
      <c r="F7" s="48"/>
      <c r="G7" s="48"/>
      <c r="H7" s="49"/>
    </row>
    <row r="8" spans="1:9">
      <c r="A8" s="9" t="s">
        <v>41</v>
      </c>
      <c r="B8" s="9"/>
      <c r="C8" s="50"/>
      <c r="D8" s="50"/>
      <c r="E8" s="50" t="s">
        <v>157</v>
      </c>
      <c r="F8" s="50"/>
      <c r="G8" s="50" t="s">
        <v>160</v>
      </c>
      <c r="H8" s="51"/>
      <c r="I8" s="50" t="s">
        <v>162</v>
      </c>
    </row>
    <row r="9" spans="1:9" ht="15.75" thickBot="1">
      <c r="A9" s="11" t="s">
        <v>1</v>
      </c>
      <c r="B9" s="12"/>
      <c r="C9" s="52" t="s">
        <v>156</v>
      </c>
      <c r="D9" s="52"/>
      <c r="E9" s="52" t="s">
        <v>158</v>
      </c>
      <c r="F9" s="50"/>
      <c r="G9" s="52" t="s">
        <v>161</v>
      </c>
      <c r="H9" s="51"/>
      <c r="I9" s="52" t="s">
        <v>163</v>
      </c>
    </row>
    <row r="10" spans="1:9">
      <c r="A10" s="4"/>
      <c r="B10" s="4"/>
      <c r="C10" s="7" t="s">
        <v>2</v>
      </c>
      <c r="D10" s="113"/>
      <c r="E10" s="7" t="s">
        <v>3</v>
      </c>
      <c r="G10" s="7" t="s">
        <v>4</v>
      </c>
      <c r="H10" s="46"/>
      <c r="I10" s="7" t="s">
        <v>5</v>
      </c>
    </row>
    <row r="12" spans="1:9">
      <c r="C12" s="48" t="s">
        <v>155</v>
      </c>
      <c r="D12" s="48"/>
      <c r="E12" s="110"/>
      <c r="F12" s="110"/>
      <c r="G12" s="110"/>
      <c r="H12" s="112"/>
      <c r="I12" s="110"/>
    </row>
    <row r="13" spans="1:9">
      <c r="C13" s="48"/>
      <c r="D13" s="48"/>
      <c r="E13" s="110"/>
      <c r="F13" s="110"/>
      <c r="G13" s="110"/>
      <c r="H13" s="112"/>
      <c r="I13" s="110"/>
    </row>
    <row r="14" spans="1:9">
      <c r="A14" s="16">
        <f>IF(ISNUMBER(I14),MAX(A$11:A13)+1, "")</f>
        <v>1</v>
      </c>
      <c r="C14" s="74" t="s">
        <v>341</v>
      </c>
      <c r="D14" s="74" t="s">
        <v>124</v>
      </c>
      <c r="E14" s="218">
        <v>0.6</v>
      </c>
      <c r="F14" s="110"/>
      <c r="G14" s="219">
        <v>3.5000000000000003E-2</v>
      </c>
      <c r="H14" s="112"/>
      <c r="I14" s="138">
        <f>E14*G14</f>
        <v>2.1000000000000001E-2</v>
      </c>
    </row>
    <row r="15" spans="1:9">
      <c r="A15" s="16">
        <f>IF(ISNUMBER(I15),MAX(A$11:A14)+1, "")</f>
        <v>2</v>
      </c>
      <c r="C15" s="74" t="s">
        <v>342</v>
      </c>
      <c r="D15" s="74" t="s">
        <v>304</v>
      </c>
      <c r="E15" s="218">
        <v>0.4</v>
      </c>
      <c r="F15" s="110"/>
      <c r="G15" s="219">
        <v>9.8000000000000004E-2</v>
      </c>
      <c r="H15" s="112"/>
      <c r="I15" s="138">
        <f>E15*G15</f>
        <v>3.9200000000000006E-2</v>
      </c>
    </row>
    <row r="16" spans="1:9">
      <c r="A16" s="16">
        <f>IF(ISNUMBER(I16),MAX(A$11:A15)+1, "")</f>
        <v>3</v>
      </c>
      <c r="C16" s="75" t="s">
        <v>33</v>
      </c>
      <c r="D16" s="75"/>
      <c r="E16" s="139">
        <f>SUM(E14:E15)</f>
        <v>1</v>
      </c>
      <c r="F16" s="110"/>
      <c r="G16" s="110"/>
      <c r="H16" s="112"/>
      <c r="I16" s="140">
        <f>SUM(I14:I15)</f>
        <v>6.0200000000000004E-2</v>
      </c>
    </row>
    <row r="17" spans="1:9">
      <c r="A17" s="16" t="str">
        <f>IF(ISNUMBER(I17),MAX(A$11:A16)+1, "")</f>
        <v/>
      </c>
      <c r="E17" s="110"/>
      <c r="F17" s="110"/>
      <c r="G17" s="110"/>
      <c r="H17" s="112"/>
      <c r="I17" s="110"/>
    </row>
    <row r="18" spans="1:9">
      <c r="A18" s="9" t="s">
        <v>102</v>
      </c>
      <c r="B18" s="4"/>
      <c r="C18" s="2"/>
      <c r="D18" s="2"/>
    </row>
    <row r="19" spans="1:9">
      <c r="A19" s="9" t="s">
        <v>103</v>
      </c>
      <c r="B19" s="4"/>
      <c r="C19" s="2" t="s">
        <v>159</v>
      </c>
      <c r="D19" s="2"/>
    </row>
    <row r="20" spans="1:9">
      <c r="A20" s="9"/>
      <c r="B20" s="4"/>
      <c r="C20" s="2"/>
      <c r="D20" s="2"/>
    </row>
    <row r="21" spans="1:9">
      <c r="A21" s="9" t="s">
        <v>105</v>
      </c>
      <c r="B21" s="4"/>
      <c r="C21" s="2" t="s">
        <v>184</v>
      </c>
      <c r="D21" s="2"/>
    </row>
    <row r="22" spans="1:9">
      <c r="A22" s="9"/>
      <c r="B22" s="4"/>
      <c r="C22" s="2"/>
      <c r="D22" s="2"/>
    </row>
    <row r="23" spans="1:9">
      <c r="A23" s="9" t="s">
        <v>133</v>
      </c>
      <c r="C23" s="46" t="s">
        <v>185</v>
      </c>
    </row>
    <row r="24" spans="1:9">
      <c r="C24" s="46" t="s">
        <v>164</v>
      </c>
    </row>
    <row r="25" spans="1:9">
      <c r="C25" s="46" t="s">
        <v>165</v>
      </c>
    </row>
    <row r="26" spans="1:9">
      <c r="C26" s="46" t="s">
        <v>166</v>
      </c>
    </row>
    <row r="27" spans="1:9">
      <c r="C27" s="46" t="s">
        <v>167</v>
      </c>
    </row>
  </sheetData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69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28.85546875" style="46" bestFit="1" customWidth="1"/>
    <col min="5" max="5" width="1.7109375" style="46" customWidth="1"/>
    <col min="6" max="6" width="47.28515625" style="46" bestFit="1" customWidth="1"/>
    <col min="7" max="7" width="1.7109375" style="47" customWidth="1"/>
    <col min="8" max="8" width="13.85546875" style="46" bestFit="1" customWidth="1"/>
    <col min="9" max="9" width="1.7109375" style="46" customWidth="1"/>
    <col min="10" max="10" width="13.85546875" style="46" bestFit="1" customWidth="1"/>
    <col min="11" max="13" width="13.85546875" style="46" customWidth="1"/>
    <col min="14" max="14" width="1.7109375" style="46" customWidth="1"/>
    <col min="15" max="15" width="21.28515625" style="46" bestFit="1" customWidth="1"/>
    <col min="16" max="16384" width="9.140625" style="46"/>
  </cols>
  <sheetData>
    <row r="1" spans="1:15">
      <c r="A1" s="1" t="s">
        <v>169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24</v>
      </c>
      <c r="B3" s="1"/>
    </row>
    <row r="4" spans="1:15">
      <c r="A4" s="1" t="str">
        <f>'Appendix B - COS'!$A$4</f>
        <v>Fiscal Year Ending December 31, 2018</v>
      </c>
      <c r="B4" s="1"/>
    </row>
    <row r="5" spans="1:15">
      <c r="A5" s="1" t="str">
        <f>'Appendix B - COS'!$A$5</f>
        <v>Draft as of July 25, 2019</v>
      </c>
      <c r="B5" s="1"/>
    </row>
    <row r="6" spans="1:15">
      <c r="A6" s="1"/>
      <c r="B6" s="1"/>
    </row>
    <row r="7" spans="1:15">
      <c r="A7" s="4"/>
      <c r="B7" s="4"/>
      <c r="C7" s="48"/>
      <c r="D7" s="48"/>
      <c r="E7" s="48"/>
      <c r="F7" s="48"/>
      <c r="G7" s="49"/>
      <c r="H7" s="50" t="s">
        <v>33</v>
      </c>
      <c r="I7" s="48" t="s">
        <v>45</v>
      </c>
      <c r="J7" s="82" t="s">
        <v>43</v>
      </c>
      <c r="K7" s="82"/>
      <c r="L7" s="82"/>
      <c r="M7" s="82"/>
      <c r="N7" s="48"/>
    </row>
    <row r="8" spans="1:15">
      <c r="A8" s="9" t="s">
        <v>41</v>
      </c>
      <c r="B8" s="9"/>
      <c r="C8" s="50" t="s">
        <v>87</v>
      </c>
      <c r="D8" s="50"/>
      <c r="E8" s="50"/>
      <c r="F8" s="50"/>
      <c r="G8" s="51"/>
      <c r="H8" s="51" t="s">
        <v>23</v>
      </c>
      <c r="I8" s="48"/>
      <c r="J8" s="81"/>
      <c r="K8" s="81"/>
      <c r="L8" s="81"/>
      <c r="M8" s="81"/>
      <c r="N8" s="48"/>
    </row>
    <row r="9" spans="1:15" ht="15.75" thickBot="1">
      <c r="A9" s="11" t="s">
        <v>1</v>
      </c>
      <c r="B9" s="12"/>
      <c r="C9" s="52" t="s">
        <v>88</v>
      </c>
      <c r="D9" s="52" t="s">
        <v>46</v>
      </c>
      <c r="E9" s="50"/>
      <c r="F9" s="52" t="s">
        <v>47</v>
      </c>
      <c r="G9" s="51"/>
      <c r="H9" s="52" t="s">
        <v>180</v>
      </c>
      <c r="I9" s="48"/>
      <c r="J9" s="52" t="s">
        <v>176</v>
      </c>
      <c r="K9" s="211" t="s">
        <v>177</v>
      </c>
      <c r="L9" s="52" t="s">
        <v>178</v>
      </c>
      <c r="M9" s="52" t="s">
        <v>33</v>
      </c>
      <c r="N9" s="48"/>
      <c r="O9" s="52" t="s">
        <v>429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G10" s="46"/>
      <c r="H10" s="7" t="s">
        <v>5</v>
      </c>
      <c r="J10" s="7" t="s">
        <v>6</v>
      </c>
      <c r="K10" s="9" t="s">
        <v>7</v>
      </c>
      <c r="L10" s="7" t="s">
        <v>106</v>
      </c>
      <c r="M10" s="7" t="s">
        <v>107</v>
      </c>
    </row>
    <row r="11" spans="1:15">
      <c r="J11" s="57"/>
      <c r="K11" s="142"/>
      <c r="L11" s="57"/>
      <c r="M11" s="83"/>
    </row>
    <row r="12" spans="1:15">
      <c r="D12" s="48" t="s">
        <v>171</v>
      </c>
      <c r="H12" s="137"/>
      <c r="I12" s="110"/>
      <c r="J12" s="137"/>
      <c r="K12" s="137"/>
      <c r="L12" s="137"/>
      <c r="M12" s="137"/>
    </row>
    <row r="13" spans="1:15">
      <c r="A13" s="16">
        <f>IF(ISNUMBER(J13),MAX(A$11:A12)+1,"" )</f>
        <v>1</v>
      </c>
      <c r="C13" s="46">
        <v>408</v>
      </c>
      <c r="D13" s="74" t="s">
        <v>172</v>
      </c>
      <c r="F13" s="76" t="s">
        <v>170</v>
      </c>
      <c r="H13" s="212">
        <v>16801299.129999999</v>
      </c>
      <c r="I13" s="110"/>
      <c r="J13" s="212">
        <v>7936039.4100000001</v>
      </c>
      <c r="K13" s="212"/>
      <c r="L13" s="212">
        <v>8865259.7199999988</v>
      </c>
      <c r="M13" s="135">
        <f t="shared" ref="M13" si="0">SUM(J13:L13)</f>
        <v>16801299.129999999</v>
      </c>
    </row>
    <row r="14" spans="1:15">
      <c r="A14" s="16">
        <f>IF(ISNUMBER(J14),MAX(A$11:A13)+1,"" )</f>
        <v>2</v>
      </c>
      <c r="D14" s="227" t="s">
        <v>173</v>
      </c>
      <c r="F14" s="46" t="str">
        <f>"Sum of Lines 1-"&amp;A13</f>
        <v>Sum of Lines 1-1</v>
      </c>
      <c r="H14" s="60">
        <f>SUM(H13:H13)</f>
        <v>16801299.129999999</v>
      </c>
      <c r="I14" s="110"/>
      <c r="J14" s="60">
        <f>SUM(J13:J13)</f>
        <v>7936039.4100000001</v>
      </c>
      <c r="K14" s="60">
        <f>SUM(K13:K13)</f>
        <v>0</v>
      </c>
      <c r="L14" s="60">
        <f>SUM(L13:L13)</f>
        <v>8865259.7199999988</v>
      </c>
      <c r="M14" s="60">
        <f>SUM(M13:M13)</f>
        <v>16801299.129999999</v>
      </c>
    </row>
    <row r="15" spans="1:15">
      <c r="A15" s="16" t="str">
        <f>IF(ISNUMBER(J15),MAX(A$11:A14)+1,"" )</f>
        <v/>
      </c>
      <c r="H15" s="137"/>
      <c r="I15" s="110"/>
      <c r="J15" s="137"/>
      <c r="K15" s="137"/>
      <c r="L15" s="137"/>
      <c r="M15" s="137"/>
    </row>
    <row r="16" spans="1:15">
      <c r="A16" s="16" t="str">
        <f>IF(ISNUMBER(J16),MAX(A$11:A15)+1,"" )</f>
        <v/>
      </c>
      <c r="D16" s="48" t="s">
        <v>428</v>
      </c>
      <c r="H16" s="137"/>
      <c r="I16" s="110"/>
      <c r="J16" s="137"/>
      <c r="K16" s="137"/>
      <c r="L16" s="137"/>
      <c r="M16" s="137"/>
    </row>
    <row r="17" spans="1:15">
      <c r="A17" s="16">
        <f>IF(ISNUMBER(J17),MAX(A$11:A16)+1,"" )</f>
        <v>3</v>
      </c>
      <c r="D17" s="74" t="s">
        <v>30</v>
      </c>
      <c r="H17" s="137"/>
      <c r="I17" s="110"/>
      <c r="J17" s="228">
        <f>'Appendix B - COS'!J19</f>
        <v>0.11981527953237466</v>
      </c>
      <c r="K17" s="228">
        <f>'Exh I - Allocators'!L35</f>
        <v>0.14803764489174498</v>
      </c>
      <c r="L17" s="228">
        <v>0</v>
      </c>
      <c r="M17" s="137"/>
      <c r="O17" s="46" t="s">
        <v>237</v>
      </c>
    </row>
    <row r="18" spans="1:15">
      <c r="A18" s="16">
        <f>IF(ISNUMBER(J18),MAX(A$11:A17)+1,"" )</f>
        <v>4</v>
      </c>
      <c r="D18" s="74" t="s">
        <v>257</v>
      </c>
      <c r="H18" s="137"/>
      <c r="I18" s="110"/>
      <c r="J18" s="228">
        <f>'Appendix B - COS'!N19</f>
        <v>0.25663904096146317</v>
      </c>
      <c r="K18" s="228">
        <f>'Exh I - Allocators'!L36</f>
        <v>0.22663847043140981</v>
      </c>
      <c r="L18" s="228">
        <v>0</v>
      </c>
      <c r="M18" s="137"/>
      <c r="O18" s="46" t="s">
        <v>237</v>
      </c>
    </row>
    <row r="19" spans="1:15">
      <c r="A19" s="16">
        <f>IF(ISNUMBER(J19),MAX(A$11:A18)+1,"" )</f>
        <v>5</v>
      </c>
      <c r="D19" s="74" t="s">
        <v>426</v>
      </c>
      <c r="H19" s="137"/>
      <c r="I19" s="110"/>
      <c r="J19" s="228">
        <f>1-SUM(J17:J18)</f>
        <v>0.62354567950616224</v>
      </c>
      <c r="K19" s="228">
        <f>'Exh I - Allocators'!L34+'Exh I - Allocators'!L37</f>
        <v>0.62532388467684519</v>
      </c>
      <c r="L19" s="228">
        <v>1</v>
      </c>
      <c r="M19" s="137"/>
      <c r="O19" s="46" t="s">
        <v>430</v>
      </c>
    </row>
    <row r="20" spans="1:15">
      <c r="A20" s="16">
        <f>IF(ISNUMBER(J20),MAX(A$11:A19)+1,"" )</f>
        <v>6</v>
      </c>
      <c r="D20" s="227" t="s">
        <v>427</v>
      </c>
      <c r="H20" s="137"/>
      <c r="I20" s="110"/>
      <c r="J20" s="229">
        <f>SUM(J17:J19)</f>
        <v>1</v>
      </c>
      <c r="K20" s="229">
        <f>SUM(K17:K19)</f>
        <v>1</v>
      </c>
      <c r="L20" s="229">
        <f>SUM(L17:L19)</f>
        <v>1</v>
      </c>
      <c r="M20" s="137"/>
    </row>
    <row r="21" spans="1:15">
      <c r="A21" s="16" t="str">
        <f>IF(ISNUMBER(J21),MAX(A$11:A20)+1,"" )</f>
        <v/>
      </c>
      <c r="H21" s="137"/>
      <c r="I21" s="110"/>
      <c r="J21" s="137"/>
      <c r="K21" s="137"/>
      <c r="L21" s="137"/>
      <c r="M21" s="137"/>
    </row>
    <row r="22" spans="1:15">
      <c r="A22" s="16" t="str">
        <f>IF(ISNUMBER(J22),MAX(A$11:A21)+1,"" )</f>
        <v/>
      </c>
      <c r="D22" s="48" t="s">
        <v>425</v>
      </c>
      <c r="H22" s="137"/>
      <c r="I22" s="110"/>
      <c r="J22" s="137"/>
      <c r="K22" s="137"/>
      <c r="L22" s="137"/>
      <c r="M22" s="137"/>
    </row>
    <row r="23" spans="1:15">
      <c r="A23" s="16">
        <f>IF(ISNUMBER(J23),MAX(A$11:A22)+1,"" )</f>
        <v>7</v>
      </c>
      <c r="D23" s="74" t="s">
        <v>30</v>
      </c>
      <c r="H23" s="137"/>
      <c r="I23" s="110"/>
      <c r="J23" s="155">
        <f t="shared" ref="J23:K23" si="1">J$14*J17</f>
        <v>950858.78028909164</v>
      </c>
      <c r="K23" s="155">
        <f t="shared" si="1"/>
        <v>0</v>
      </c>
      <c r="L23" s="155">
        <f>L$14*L17</f>
        <v>0</v>
      </c>
      <c r="M23" s="137"/>
      <c r="O23" s="46" t="s">
        <v>431</v>
      </c>
    </row>
    <row r="24" spans="1:15">
      <c r="A24" s="16">
        <f>IF(ISNUMBER(J24),MAX(A$11:A23)+1,"" )</f>
        <v>8</v>
      </c>
      <c r="D24" s="74" t="s">
        <v>257</v>
      </c>
      <c r="H24" s="137"/>
      <c r="I24" s="110"/>
      <c r="J24" s="155">
        <f t="shared" ref="J24:K24" si="2">J$14*J18</f>
        <v>2036697.5432147761</v>
      </c>
      <c r="K24" s="155">
        <f t="shared" si="2"/>
        <v>0</v>
      </c>
      <c r="L24" s="155">
        <f>L$14*L18</f>
        <v>0</v>
      </c>
      <c r="M24" s="137"/>
      <c r="O24" s="46" t="s">
        <v>432</v>
      </c>
    </row>
    <row r="25" spans="1:15">
      <c r="A25" s="16">
        <f>IF(ISNUMBER(J25),MAX(A$11:A24)+1,"" )</f>
        <v>9</v>
      </c>
      <c r="D25" s="74" t="s">
        <v>426</v>
      </c>
      <c r="H25" s="137"/>
      <c r="I25" s="110"/>
      <c r="J25" s="155">
        <f t="shared" ref="J25:K25" si="3">J$14*J19</f>
        <v>4948483.0864961334</v>
      </c>
      <c r="K25" s="155">
        <f t="shared" si="3"/>
        <v>0</v>
      </c>
      <c r="L25" s="155">
        <f>L$14*L19</f>
        <v>8865259.7199999988</v>
      </c>
      <c r="M25" s="137"/>
      <c r="O25" s="46" t="s">
        <v>433</v>
      </c>
    </row>
    <row r="26" spans="1:15">
      <c r="A26" s="16">
        <f>IF(ISNUMBER(J26),MAX(A$11:A25)+1,"" )</f>
        <v>10</v>
      </c>
      <c r="D26" s="227" t="s">
        <v>427</v>
      </c>
      <c r="H26" s="137"/>
      <c r="I26" s="110"/>
      <c r="J26" s="156">
        <f t="shared" ref="J26:K26" si="4">SUM(J23:J25)</f>
        <v>7936039.4100000011</v>
      </c>
      <c r="K26" s="156">
        <f t="shared" si="4"/>
        <v>0</v>
      </c>
      <c r="L26" s="156">
        <f>SUM(L23:L25)</f>
        <v>8865259.7199999988</v>
      </c>
      <c r="M26" s="137"/>
    </row>
    <row r="27" spans="1:15">
      <c r="H27" s="137"/>
      <c r="I27" s="110"/>
      <c r="J27" s="137"/>
      <c r="K27" s="137"/>
      <c r="L27" s="137"/>
      <c r="M27" s="137"/>
    </row>
    <row r="28" spans="1:15">
      <c r="A28" s="9"/>
      <c r="B28" s="4"/>
      <c r="C28" s="2"/>
      <c r="H28" s="53"/>
      <c r="J28" s="53"/>
      <c r="K28" s="53"/>
      <c r="L28" s="53"/>
      <c r="M28" s="53"/>
    </row>
    <row r="29" spans="1:15">
      <c r="A29" s="9"/>
      <c r="B29" s="4"/>
      <c r="C29" s="2"/>
      <c r="H29" s="53"/>
      <c r="J29" s="53"/>
      <c r="K29" s="53"/>
      <c r="L29" s="53"/>
      <c r="M29" s="53"/>
    </row>
    <row r="30" spans="1:15">
      <c r="H30" s="53"/>
      <c r="J30" s="53"/>
      <c r="K30" s="53"/>
      <c r="L30" s="53"/>
      <c r="M30" s="53"/>
    </row>
    <row r="31" spans="1:15">
      <c r="H31" s="53"/>
      <c r="J31" s="53"/>
      <c r="K31" s="53"/>
      <c r="L31" s="53"/>
      <c r="M31" s="53"/>
    </row>
    <row r="32" spans="1:15">
      <c r="H32" s="53"/>
      <c r="J32" s="53"/>
      <c r="K32" s="53"/>
      <c r="L32" s="53"/>
      <c r="M32" s="53"/>
    </row>
    <row r="33" spans="8:13">
      <c r="H33" s="53"/>
      <c r="J33" s="53"/>
      <c r="K33" s="53"/>
      <c r="L33" s="53"/>
      <c r="M33" s="53"/>
    </row>
    <row r="34" spans="8:13">
      <c r="H34" s="53"/>
      <c r="J34" s="53"/>
      <c r="K34" s="53"/>
      <c r="L34" s="53"/>
      <c r="M34" s="53"/>
    </row>
    <row r="35" spans="8:13">
      <c r="H35" s="53"/>
      <c r="J35" s="53"/>
      <c r="K35" s="53"/>
      <c r="L35" s="53"/>
      <c r="M35" s="53"/>
    </row>
    <row r="36" spans="8:13">
      <c r="H36" s="53"/>
      <c r="J36" s="53"/>
      <c r="K36" s="53"/>
      <c r="L36" s="53"/>
      <c r="M36" s="53"/>
    </row>
    <row r="37" spans="8:13">
      <c r="H37" s="53"/>
      <c r="J37" s="53"/>
      <c r="K37" s="53"/>
      <c r="L37" s="53"/>
      <c r="M37" s="53"/>
    </row>
    <row r="38" spans="8:13">
      <c r="H38" s="53"/>
      <c r="J38" s="53"/>
      <c r="K38" s="53"/>
      <c r="L38" s="53"/>
      <c r="M38" s="53"/>
    </row>
    <row r="39" spans="8:13">
      <c r="H39" s="53"/>
      <c r="J39" s="53"/>
      <c r="K39" s="53"/>
      <c r="L39" s="53"/>
      <c r="M39" s="53"/>
    </row>
    <row r="40" spans="8:13">
      <c r="H40" s="53"/>
      <c r="J40" s="53"/>
      <c r="K40" s="53"/>
      <c r="L40" s="53"/>
      <c r="M40" s="53"/>
    </row>
    <row r="41" spans="8:13">
      <c r="H41" s="53"/>
      <c r="J41" s="53"/>
      <c r="K41" s="53"/>
      <c r="L41" s="53"/>
      <c r="M41" s="53"/>
    </row>
    <row r="42" spans="8:13">
      <c r="H42" s="53"/>
      <c r="J42" s="53"/>
      <c r="K42" s="53"/>
      <c r="L42" s="53"/>
      <c r="M42" s="53"/>
    </row>
    <row r="43" spans="8:13">
      <c r="H43" s="53"/>
      <c r="J43" s="53"/>
      <c r="K43" s="53"/>
      <c r="L43" s="53"/>
      <c r="M43" s="53"/>
    </row>
    <row r="44" spans="8:13">
      <c r="H44" s="53"/>
      <c r="J44" s="53"/>
      <c r="K44" s="53"/>
      <c r="L44" s="53"/>
      <c r="M44" s="53"/>
    </row>
    <row r="45" spans="8:13">
      <c r="H45" s="53"/>
      <c r="J45" s="53"/>
      <c r="K45" s="53"/>
      <c r="L45" s="53"/>
      <c r="M45" s="53"/>
    </row>
    <row r="46" spans="8:13">
      <c r="H46" s="53"/>
      <c r="J46" s="53"/>
      <c r="K46" s="53"/>
      <c r="L46" s="53"/>
      <c r="M46" s="53"/>
    </row>
    <row r="47" spans="8:13">
      <c r="H47" s="53"/>
      <c r="J47" s="53"/>
      <c r="K47" s="53"/>
      <c r="L47" s="53"/>
      <c r="M47" s="53"/>
    </row>
    <row r="48" spans="8:13">
      <c r="H48" s="53"/>
      <c r="J48" s="53"/>
      <c r="K48" s="53"/>
      <c r="L48" s="53"/>
      <c r="M48" s="53"/>
    </row>
    <row r="49" spans="8:13">
      <c r="H49" s="53"/>
      <c r="J49" s="53"/>
      <c r="K49" s="53"/>
      <c r="L49" s="53"/>
      <c r="M49" s="53"/>
    </row>
    <row r="50" spans="8:13">
      <c r="H50" s="53"/>
      <c r="J50" s="53"/>
      <c r="K50" s="53"/>
      <c r="L50" s="53"/>
      <c r="M50" s="53"/>
    </row>
    <row r="51" spans="8:13">
      <c r="H51" s="53"/>
      <c r="J51" s="53"/>
      <c r="K51" s="53"/>
      <c r="L51" s="53"/>
      <c r="M51" s="53"/>
    </row>
    <row r="52" spans="8:13">
      <c r="H52" s="53"/>
      <c r="J52" s="53"/>
      <c r="K52" s="53"/>
      <c r="L52" s="53"/>
      <c r="M52" s="53"/>
    </row>
    <row r="53" spans="8:13">
      <c r="H53" s="53"/>
      <c r="J53" s="53"/>
      <c r="K53" s="53"/>
      <c r="L53" s="53"/>
      <c r="M53" s="53"/>
    </row>
    <row r="54" spans="8:13">
      <c r="H54" s="53"/>
      <c r="J54" s="53"/>
      <c r="K54" s="53"/>
      <c r="L54" s="53"/>
      <c r="M54" s="53"/>
    </row>
    <row r="55" spans="8:13">
      <c r="H55" s="53"/>
      <c r="J55" s="53"/>
      <c r="K55" s="53"/>
      <c r="L55" s="53"/>
      <c r="M55" s="53"/>
    </row>
    <row r="56" spans="8:13">
      <c r="H56" s="53"/>
      <c r="J56" s="53"/>
      <c r="K56" s="53"/>
      <c r="L56" s="53"/>
      <c r="M56" s="53"/>
    </row>
    <row r="57" spans="8:13">
      <c r="H57" s="53"/>
      <c r="J57" s="53"/>
      <c r="K57" s="53"/>
      <c r="L57" s="53"/>
      <c r="M57" s="53"/>
    </row>
    <row r="58" spans="8:13">
      <c r="H58" s="53"/>
      <c r="J58" s="53"/>
      <c r="K58" s="53"/>
      <c r="L58" s="53"/>
      <c r="M58" s="53"/>
    </row>
    <row r="59" spans="8:13">
      <c r="H59" s="53"/>
      <c r="J59" s="53"/>
      <c r="K59" s="53"/>
      <c r="L59" s="53"/>
      <c r="M59" s="53"/>
    </row>
    <row r="60" spans="8:13">
      <c r="H60" s="53"/>
      <c r="J60" s="53"/>
      <c r="K60" s="53"/>
      <c r="L60" s="53"/>
      <c r="M60" s="53"/>
    </row>
    <row r="61" spans="8:13">
      <c r="H61" s="53"/>
      <c r="J61" s="53"/>
      <c r="K61" s="53"/>
      <c r="L61" s="53"/>
      <c r="M61" s="53"/>
    </row>
    <row r="62" spans="8:13">
      <c r="H62" s="53"/>
      <c r="J62" s="53"/>
      <c r="K62" s="53"/>
      <c r="L62" s="53"/>
      <c r="M62" s="53"/>
    </row>
    <row r="63" spans="8:13">
      <c r="H63" s="53"/>
      <c r="J63" s="53"/>
      <c r="K63" s="53"/>
      <c r="L63" s="53"/>
      <c r="M63" s="53"/>
    </row>
    <row r="64" spans="8:13">
      <c r="H64" s="53"/>
      <c r="J64" s="53"/>
      <c r="K64" s="53"/>
      <c r="L64" s="53"/>
      <c r="M64" s="53"/>
    </row>
    <row r="65" spans="8:13">
      <c r="H65" s="53"/>
      <c r="J65" s="53"/>
      <c r="K65" s="53"/>
      <c r="L65" s="53"/>
      <c r="M65" s="53"/>
    </row>
    <row r="66" spans="8:13">
      <c r="H66" s="53"/>
      <c r="J66" s="53"/>
      <c r="K66" s="53"/>
      <c r="L66" s="53"/>
      <c r="M66" s="53"/>
    </row>
    <row r="67" spans="8:13">
      <c r="H67" s="53"/>
      <c r="J67" s="53"/>
      <c r="K67" s="53"/>
      <c r="L67" s="53"/>
      <c r="M67" s="53"/>
    </row>
    <row r="68" spans="8:13">
      <c r="H68" s="53"/>
      <c r="J68" s="53"/>
      <c r="K68" s="53"/>
      <c r="L68" s="53"/>
      <c r="M68" s="53"/>
    </row>
    <row r="69" spans="8:13">
      <c r="H69" s="53"/>
      <c r="J69" s="53"/>
      <c r="K69" s="53"/>
      <c r="L69" s="53"/>
      <c r="M69" s="53"/>
    </row>
  </sheetData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66"/>
  <sheetViews>
    <sheetView showGridLines="0" view="pageBreakPreview" zoomScale="60" zoomScaleNormal="70" workbookViewId="0">
      <selection activeCell="F64" sqref="F64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34.42578125" style="46" bestFit="1" customWidth="1"/>
    <col min="5" max="5" width="1.7109375" style="46" customWidth="1"/>
    <col min="6" max="6" width="53.28515625" style="46" bestFit="1" customWidth="1"/>
    <col min="7" max="7" width="1.7109375" style="46" customWidth="1"/>
    <col min="8" max="8" width="13.85546875" style="46" bestFit="1" customWidth="1"/>
    <col min="9" max="13" width="13.85546875" style="46" customWidth="1"/>
    <col min="14" max="14" width="1.7109375" style="46" customWidth="1"/>
    <col min="15" max="15" width="41.85546875" style="46" bestFit="1" customWidth="1"/>
    <col min="16" max="16384" width="9.140625" style="46"/>
  </cols>
  <sheetData>
    <row r="1" spans="1:15">
      <c r="A1" s="1" t="s">
        <v>216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26</v>
      </c>
      <c r="B3" s="1"/>
    </row>
    <row r="4" spans="1:15">
      <c r="A4" s="1" t="str">
        <f>'Appendix B - COS'!$A$4</f>
        <v>Fiscal Year Ending December 31, 2018</v>
      </c>
      <c r="B4" s="1"/>
    </row>
    <row r="5" spans="1:15">
      <c r="A5" s="1" t="str">
        <f>'Appendix B - COS'!$A$5</f>
        <v>Draft as of July 25, 2019</v>
      </c>
      <c r="B5" s="1"/>
    </row>
    <row r="6" spans="1:15">
      <c r="A6" s="1"/>
      <c r="B6" s="1"/>
    </row>
    <row r="7" spans="1:15">
      <c r="A7" s="4"/>
      <c r="B7" s="4"/>
      <c r="C7" s="48"/>
      <c r="D7" s="48"/>
      <c r="E7" s="48"/>
      <c r="F7" s="48"/>
      <c r="G7" s="48" t="s">
        <v>45</v>
      </c>
      <c r="H7" s="82" t="s">
        <v>43</v>
      </c>
      <c r="I7" s="82"/>
      <c r="J7" s="82"/>
      <c r="K7" s="82"/>
      <c r="L7" s="82"/>
      <c r="M7" s="82"/>
      <c r="N7" s="48"/>
    </row>
    <row r="8" spans="1:15">
      <c r="A8" s="9" t="s">
        <v>41</v>
      </c>
      <c r="B8" s="9"/>
      <c r="C8" s="50" t="s">
        <v>87</v>
      </c>
      <c r="D8" s="50"/>
      <c r="E8" s="50"/>
      <c r="F8" s="50"/>
      <c r="G8" s="48"/>
      <c r="H8" s="90">
        <v>1</v>
      </c>
      <c r="I8" s="90">
        <v>1</v>
      </c>
      <c r="J8" s="81"/>
      <c r="K8" s="81"/>
      <c r="L8" s="81"/>
      <c r="M8" s="81"/>
      <c r="N8" s="48"/>
    </row>
    <row r="9" spans="1:15" ht="15.75" thickBot="1">
      <c r="A9" s="11" t="s">
        <v>1</v>
      </c>
      <c r="B9" s="12"/>
      <c r="C9" s="52" t="s">
        <v>88</v>
      </c>
      <c r="D9" s="52" t="s">
        <v>46</v>
      </c>
      <c r="E9" s="50"/>
      <c r="F9" s="52" t="s">
        <v>47</v>
      </c>
      <c r="G9" s="48"/>
      <c r="H9" s="52" t="s">
        <v>30</v>
      </c>
      <c r="I9" s="52" t="s">
        <v>257</v>
      </c>
      <c r="J9" s="52" t="s">
        <v>176</v>
      </c>
      <c r="K9" s="52" t="s">
        <v>177</v>
      </c>
      <c r="L9" s="52" t="s">
        <v>178</v>
      </c>
      <c r="M9" s="52" t="s">
        <v>33</v>
      </c>
      <c r="N9" s="48"/>
      <c r="O9" s="52" t="s">
        <v>179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H10" s="7" t="s">
        <v>6</v>
      </c>
      <c r="I10" s="7" t="s">
        <v>7</v>
      </c>
      <c r="J10" s="7" t="s">
        <v>106</v>
      </c>
      <c r="K10" s="7" t="s">
        <v>107</v>
      </c>
      <c r="L10" s="7" t="s">
        <v>181</v>
      </c>
      <c r="M10" s="7" t="s">
        <v>212</v>
      </c>
      <c r="O10" s="113" t="s">
        <v>213</v>
      </c>
    </row>
    <row r="11" spans="1:15">
      <c r="H11" s="57"/>
      <c r="I11" s="57"/>
      <c r="J11" s="57"/>
      <c r="K11" s="57"/>
      <c r="L11" s="57"/>
      <c r="M11" s="83"/>
    </row>
    <row r="12" spans="1:15">
      <c r="D12" s="48" t="s">
        <v>226</v>
      </c>
      <c r="H12" s="53"/>
      <c r="I12" s="53"/>
      <c r="J12" s="53"/>
      <c r="K12" s="53"/>
      <c r="L12" s="53"/>
      <c r="M12" s="53"/>
    </row>
    <row r="13" spans="1:15">
      <c r="A13" s="16">
        <f>IF(ISNUMBER(M:M),MAX(A$11:A12)+1, "")</f>
        <v>1</v>
      </c>
      <c r="C13" s="46">
        <v>450</v>
      </c>
      <c r="D13" s="46" t="s">
        <v>221</v>
      </c>
      <c r="F13" s="91" t="s">
        <v>218</v>
      </c>
      <c r="H13" s="212"/>
      <c r="I13" s="212">
        <v>1129691.96</v>
      </c>
      <c r="J13" s="212"/>
      <c r="K13" s="212"/>
      <c r="L13" s="212"/>
      <c r="M13" s="77">
        <f>SUM(H13:L13)</f>
        <v>1129691.96</v>
      </c>
      <c r="O13" s="46" t="s">
        <v>225</v>
      </c>
    </row>
    <row r="14" spans="1:15">
      <c r="A14" s="16">
        <f>IF(ISNUMBER(M:M),MAX(A$11:A13)+1, "")</f>
        <v>2</v>
      </c>
      <c r="C14" s="46">
        <v>451</v>
      </c>
      <c r="D14" s="46" t="s">
        <v>222</v>
      </c>
      <c r="F14" s="91" t="s">
        <v>219</v>
      </c>
      <c r="H14" s="212"/>
      <c r="I14" s="212">
        <v>2870955.2</v>
      </c>
      <c r="J14" s="212"/>
      <c r="K14" s="212"/>
      <c r="L14" s="212"/>
      <c r="M14" s="77">
        <f>SUM(H14:L14)</f>
        <v>2870955.2</v>
      </c>
      <c r="O14" s="46" t="s">
        <v>225</v>
      </c>
    </row>
    <row r="15" spans="1:15">
      <c r="A15" s="16">
        <f>IF(ISNUMBER(M:M),MAX(A$11:A14)+1, "")</f>
        <v>3</v>
      </c>
      <c r="C15" s="46">
        <v>454</v>
      </c>
      <c r="D15" s="46" t="s">
        <v>223</v>
      </c>
      <c r="F15" s="91" t="s">
        <v>220</v>
      </c>
      <c r="H15" s="212"/>
      <c r="I15" s="212">
        <v>382849.9</v>
      </c>
      <c r="J15" s="212"/>
      <c r="K15" s="212"/>
      <c r="L15" s="212"/>
      <c r="M15" s="77">
        <f>SUM(H15:L15)</f>
        <v>382849.9</v>
      </c>
      <c r="O15" s="46" t="s">
        <v>225</v>
      </c>
    </row>
    <row r="16" spans="1:15">
      <c r="A16" s="16">
        <f>IF(ISNUMBER(M:M),MAX(A$11:A15)+1, "")</f>
        <v>4</v>
      </c>
      <c r="D16" s="55" t="s">
        <v>224</v>
      </c>
      <c r="H16" s="54">
        <f t="shared" ref="H16:M16" si="0">SUM(H13:H15)</f>
        <v>0</v>
      </c>
      <c r="I16" s="54">
        <f t="shared" si="0"/>
        <v>4383497.0600000005</v>
      </c>
      <c r="J16" s="54">
        <f t="shared" si="0"/>
        <v>0</v>
      </c>
      <c r="K16" s="54">
        <f t="shared" si="0"/>
        <v>0</v>
      </c>
      <c r="L16" s="54">
        <f t="shared" si="0"/>
        <v>0</v>
      </c>
      <c r="M16" s="54">
        <f t="shared" si="0"/>
        <v>4383497.0600000005</v>
      </c>
    </row>
    <row r="17" spans="1:15">
      <c r="A17" s="16" t="str">
        <f>IF(ISNUMBER(M:M),MAX(A$11:A16)+1, "")</f>
        <v/>
      </c>
      <c r="D17" s="55"/>
      <c r="H17" s="77"/>
      <c r="I17" s="77"/>
      <c r="J17" s="77"/>
      <c r="K17" s="77"/>
      <c r="L17" s="77"/>
      <c r="M17" s="77"/>
    </row>
    <row r="18" spans="1:15">
      <c r="A18" s="16" t="str">
        <f>IF(ISNUMBER(M:M),MAX(A$11:A17)+1, "")</f>
        <v/>
      </c>
      <c r="D18" s="48" t="s">
        <v>228</v>
      </c>
    </row>
    <row r="19" spans="1:15">
      <c r="A19" s="16">
        <f>IF(ISNUMBER(M:M),MAX(A$11:A18)+1, "")</f>
        <v>5</v>
      </c>
      <c r="C19" s="46">
        <v>456</v>
      </c>
      <c r="D19" s="46" t="s">
        <v>227</v>
      </c>
      <c r="F19" s="92" t="s">
        <v>229</v>
      </c>
      <c r="H19" s="212">
        <v>165252</v>
      </c>
      <c r="I19" s="212"/>
      <c r="J19" s="212"/>
      <c r="K19" s="212"/>
      <c r="L19" s="212"/>
      <c r="M19" s="77">
        <f>SUM(H19:L19)</f>
        <v>165252</v>
      </c>
      <c r="O19" s="46" t="s">
        <v>232</v>
      </c>
    </row>
    <row r="20" spans="1:15">
      <c r="A20" s="16">
        <f>IF(ISNUMBER(M:M),MAX(A$11:A19)+1, "")</f>
        <v>6</v>
      </c>
      <c r="C20" s="46">
        <v>456</v>
      </c>
      <c r="D20" s="46" t="s">
        <v>227</v>
      </c>
      <c r="F20" s="92" t="s">
        <v>230</v>
      </c>
      <c r="H20" s="212">
        <v>142608</v>
      </c>
      <c r="I20" s="212"/>
      <c r="J20" s="212"/>
      <c r="K20" s="212"/>
      <c r="L20" s="212"/>
      <c r="M20" s="77">
        <f>SUM(H20:L20)</f>
        <v>142608</v>
      </c>
      <c r="O20" s="46" t="s">
        <v>232</v>
      </c>
    </row>
    <row r="21" spans="1:15">
      <c r="A21" s="16">
        <f>IF(ISNUMBER(M:M),MAX(A$11:A20)+1, "")</f>
        <v>7</v>
      </c>
      <c r="C21" s="46">
        <v>456</v>
      </c>
      <c r="D21" s="46" t="s">
        <v>227</v>
      </c>
      <c r="F21" s="92" t="s">
        <v>302</v>
      </c>
      <c r="H21" s="212">
        <v>53568</v>
      </c>
      <c r="I21" s="212"/>
      <c r="J21" s="212"/>
      <c r="K21" s="212"/>
      <c r="L21" s="212"/>
      <c r="M21" s="77">
        <f>SUM(H21:L21)</f>
        <v>53568</v>
      </c>
      <c r="O21" s="46" t="s">
        <v>303</v>
      </c>
    </row>
    <row r="22" spans="1:15">
      <c r="A22" s="16">
        <f>IF(ISNUMBER(M:M),MAX(A$11:A21)+1, "")</f>
        <v>8</v>
      </c>
      <c r="C22" s="46">
        <v>456</v>
      </c>
      <c r="D22" s="46" t="s">
        <v>227</v>
      </c>
      <c r="F22" s="92" t="s">
        <v>295</v>
      </c>
      <c r="H22" s="212">
        <v>53568</v>
      </c>
      <c r="I22" s="212"/>
      <c r="J22" s="212"/>
      <c r="K22" s="212"/>
      <c r="L22" s="212"/>
      <c r="M22" s="77">
        <f>SUM(H22:L22)</f>
        <v>53568</v>
      </c>
      <c r="O22" s="46" t="s">
        <v>303</v>
      </c>
    </row>
    <row r="23" spans="1:15">
      <c r="A23" s="16">
        <f>IF(ISNUMBER(M:M),MAX(A$11:A22)+1, "")</f>
        <v>9</v>
      </c>
      <c r="D23" s="55" t="s">
        <v>231</v>
      </c>
      <c r="H23" s="54">
        <f t="shared" ref="H23:M23" si="1">SUM(H19:H22)</f>
        <v>414996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4">
        <f t="shared" si="1"/>
        <v>414996</v>
      </c>
    </row>
    <row r="24" spans="1:15">
      <c r="A24" s="16" t="str">
        <f>IF(ISNUMBER(M:M),MAX(A$11:A23)+1, "")</f>
        <v/>
      </c>
      <c r="D24" s="55"/>
      <c r="H24" s="77"/>
      <c r="I24" s="77"/>
      <c r="J24" s="77"/>
      <c r="K24" s="77"/>
      <c r="L24" s="77"/>
      <c r="M24" s="77"/>
    </row>
    <row r="25" spans="1:15">
      <c r="H25" s="53"/>
      <c r="I25" s="53"/>
      <c r="J25" s="53"/>
      <c r="K25" s="53"/>
      <c r="L25" s="53"/>
      <c r="M25" s="53"/>
    </row>
    <row r="26" spans="1:15">
      <c r="A26" s="9"/>
      <c r="B26" s="4"/>
      <c r="C26" s="2"/>
      <c r="H26" s="53"/>
      <c r="I26" s="53"/>
      <c r="J26" s="53"/>
      <c r="K26" s="53"/>
      <c r="L26" s="53"/>
      <c r="M26" s="53"/>
    </row>
    <row r="27" spans="1:15">
      <c r="H27" s="53"/>
      <c r="I27" s="53"/>
      <c r="J27" s="53"/>
      <c r="K27" s="53"/>
      <c r="L27" s="53"/>
      <c r="M27" s="53"/>
    </row>
    <row r="28" spans="1:15">
      <c r="H28" s="53"/>
      <c r="I28" s="53"/>
      <c r="J28" s="53"/>
      <c r="K28" s="53"/>
      <c r="L28" s="53"/>
      <c r="M28" s="53"/>
    </row>
    <row r="29" spans="1:15">
      <c r="H29" s="53"/>
      <c r="I29" s="53"/>
      <c r="J29" s="53"/>
      <c r="K29" s="53"/>
      <c r="L29" s="53"/>
      <c r="M29" s="53"/>
    </row>
    <row r="30" spans="1:15">
      <c r="H30" s="53"/>
      <c r="I30" s="53"/>
      <c r="J30" s="53"/>
      <c r="K30" s="53"/>
      <c r="L30" s="53"/>
      <c r="M30" s="53"/>
    </row>
    <row r="31" spans="1:15">
      <c r="H31" s="53"/>
      <c r="I31" s="53"/>
      <c r="J31" s="53"/>
      <c r="K31" s="53"/>
      <c r="L31" s="53"/>
      <c r="M31" s="53"/>
    </row>
    <row r="32" spans="1:15">
      <c r="H32" s="53"/>
      <c r="I32" s="53"/>
      <c r="J32" s="53"/>
      <c r="K32" s="53"/>
      <c r="L32" s="53"/>
      <c r="M32" s="53"/>
    </row>
    <row r="33" spans="8:13">
      <c r="H33" s="53"/>
      <c r="I33" s="53"/>
      <c r="J33" s="53"/>
      <c r="K33" s="53"/>
      <c r="L33" s="53"/>
      <c r="M33" s="53"/>
    </row>
    <row r="34" spans="8:13">
      <c r="H34" s="53"/>
      <c r="I34" s="53"/>
      <c r="J34" s="53"/>
      <c r="K34" s="53"/>
      <c r="L34" s="53"/>
      <c r="M34" s="53"/>
    </row>
    <row r="35" spans="8:13">
      <c r="H35" s="53"/>
      <c r="I35" s="53"/>
      <c r="J35" s="53"/>
      <c r="K35" s="53"/>
      <c r="L35" s="53"/>
      <c r="M35" s="53"/>
    </row>
    <row r="36" spans="8:13">
      <c r="H36" s="53"/>
      <c r="I36" s="53"/>
      <c r="J36" s="53"/>
      <c r="K36" s="53"/>
      <c r="L36" s="53"/>
      <c r="M36" s="53"/>
    </row>
    <row r="37" spans="8:13">
      <c r="H37" s="53"/>
      <c r="I37" s="53"/>
      <c r="J37" s="53"/>
      <c r="K37" s="53"/>
      <c r="L37" s="53"/>
      <c r="M37" s="53"/>
    </row>
    <row r="38" spans="8:13">
      <c r="H38" s="53"/>
      <c r="I38" s="53"/>
      <c r="J38" s="53"/>
      <c r="K38" s="53"/>
      <c r="L38" s="53"/>
      <c r="M38" s="53"/>
    </row>
    <row r="39" spans="8:13">
      <c r="H39" s="53"/>
      <c r="I39" s="53"/>
      <c r="J39" s="53"/>
      <c r="K39" s="53"/>
      <c r="L39" s="53"/>
      <c r="M39" s="53"/>
    </row>
    <row r="40" spans="8:13">
      <c r="H40" s="53"/>
      <c r="I40" s="53"/>
      <c r="J40" s="53"/>
      <c r="K40" s="53"/>
      <c r="L40" s="53"/>
      <c r="M40" s="53"/>
    </row>
    <row r="41" spans="8:13">
      <c r="H41" s="53"/>
      <c r="I41" s="53"/>
      <c r="J41" s="53"/>
      <c r="K41" s="53"/>
      <c r="L41" s="53"/>
      <c r="M41" s="53"/>
    </row>
    <row r="42" spans="8:13">
      <c r="H42" s="53"/>
      <c r="I42" s="53"/>
      <c r="J42" s="53"/>
      <c r="K42" s="53"/>
      <c r="L42" s="53"/>
      <c r="M42" s="53"/>
    </row>
    <row r="43" spans="8:13">
      <c r="H43" s="53"/>
      <c r="I43" s="53"/>
      <c r="J43" s="53"/>
      <c r="K43" s="53"/>
      <c r="L43" s="53"/>
      <c r="M43" s="53"/>
    </row>
    <row r="44" spans="8:13">
      <c r="H44" s="53"/>
      <c r="I44" s="53"/>
      <c r="J44" s="53"/>
      <c r="K44" s="53"/>
      <c r="L44" s="53"/>
      <c r="M44" s="53"/>
    </row>
    <row r="45" spans="8:13">
      <c r="H45" s="53"/>
      <c r="I45" s="53"/>
      <c r="J45" s="53"/>
      <c r="K45" s="53"/>
      <c r="L45" s="53"/>
      <c r="M45" s="53"/>
    </row>
    <row r="46" spans="8:13">
      <c r="H46" s="53"/>
      <c r="I46" s="53"/>
      <c r="J46" s="53"/>
      <c r="K46" s="53"/>
      <c r="L46" s="53"/>
      <c r="M46" s="53"/>
    </row>
    <row r="47" spans="8:13">
      <c r="H47" s="53"/>
      <c r="I47" s="53"/>
      <c r="J47" s="53"/>
      <c r="K47" s="53"/>
      <c r="L47" s="53"/>
      <c r="M47" s="53"/>
    </row>
    <row r="48" spans="8:13">
      <c r="H48" s="53"/>
      <c r="I48" s="53"/>
      <c r="J48" s="53"/>
      <c r="K48" s="53"/>
      <c r="L48" s="53"/>
      <c r="M48" s="53"/>
    </row>
    <row r="49" spans="8:13">
      <c r="H49" s="53"/>
      <c r="I49" s="53"/>
      <c r="J49" s="53"/>
      <c r="K49" s="53"/>
      <c r="L49" s="53"/>
      <c r="M49" s="53"/>
    </row>
    <row r="50" spans="8:13">
      <c r="H50" s="53"/>
      <c r="I50" s="53"/>
      <c r="J50" s="53"/>
      <c r="K50" s="53"/>
      <c r="L50" s="53"/>
      <c r="M50" s="53"/>
    </row>
    <row r="51" spans="8:13">
      <c r="H51" s="53"/>
      <c r="I51" s="53"/>
      <c r="J51" s="53"/>
      <c r="K51" s="53"/>
      <c r="L51" s="53"/>
      <c r="M51" s="53"/>
    </row>
    <row r="52" spans="8:13">
      <c r="H52" s="53"/>
      <c r="I52" s="53"/>
      <c r="J52" s="53"/>
      <c r="K52" s="53"/>
      <c r="L52" s="53"/>
      <c r="M52" s="53"/>
    </row>
    <row r="53" spans="8:13">
      <c r="H53" s="53"/>
      <c r="I53" s="53"/>
      <c r="J53" s="53"/>
      <c r="K53" s="53"/>
      <c r="L53" s="53"/>
      <c r="M53" s="53"/>
    </row>
    <row r="54" spans="8:13">
      <c r="H54" s="53"/>
      <c r="I54" s="53"/>
      <c r="J54" s="53"/>
      <c r="K54" s="53"/>
      <c r="L54" s="53"/>
      <c r="M54" s="53"/>
    </row>
    <row r="55" spans="8:13">
      <c r="H55" s="53"/>
      <c r="I55" s="53"/>
      <c r="J55" s="53"/>
      <c r="K55" s="53"/>
      <c r="L55" s="53"/>
      <c r="M55" s="53"/>
    </row>
    <row r="56" spans="8:13">
      <c r="H56" s="53"/>
      <c r="I56" s="53"/>
      <c r="J56" s="53"/>
      <c r="K56" s="53"/>
      <c r="L56" s="53"/>
      <c r="M56" s="53"/>
    </row>
    <row r="57" spans="8:13">
      <c r="H57" s="53"/>
      <c r="I57" s="53"/>
      <c r="J57" s="53"/>
      <c r="K57" s="53"/>
      <c r="L57" s="53"/>
      <c r="M57" s="53"/>
    </row>
    <row r="58" spans="8:13">
      <c r="H58" s="53"/>
      <c r="I58" s="53"/>
      <c r="J58" s="53"/>
      <c r="K58" s="53"/>
      <c r="L58" s="53"/>
      <c r="M58" s="53"/>
    </row>
    <row r="59" spans="8:13">
      <c r="H59" s="53"/>
      <c r="I59" s="53"/>
      <c r="J59" s="53"/>
      <c r="K59" s="53"/>
      <c r="L59" s="53"/>
      <c r="M59" s="53"/>
    </row>
    <row r="60" spans="8:13">
      <c r="H60" s="53"/>
      <c r="I60" s="53"/>
      <c r="J60" s="53"/>
      <c r="K60" s="53"/>
      <c r="L60" s="53"/>
      <c r="M60" s="53"/>
    </row>
    <row r="61" spans="8:13">
      <c r="H61" s="53"/>
      <c r="I61" s="53"/>
      <c r="J61" s="53"/>
      <c r="K61" s="53"/>
      <c r="L61" s="53"/>
      <c r="M61" s="53"/>
    </row>
    <row r="62" spans="8:13">
      <c r="H62" s="53"/>
      <c r="I62" s="53"/>
      <c r="J62" s="53"/>
      <c r="K62" s="53"/>
      <c r="L62" s="53"/>
      <c r="M62" s="53"/>
    </row>
    <row r="63" spans="8:13">
      <c r="H63" s="53"/>
      <c r="I63" s="53"/>
      <c r="J63" s="53"/>
      <c r="K63" s="53"/>
      <c r="L63" s="53"/>
      <c r="M63" s="53"/>
    </row>
    <row r="64" spans="8:13">
      <c r="H64" s="53"/>
      <c r="I64" s="53"/>
      <c r="J64" s="53"/>
      <c r="K64" s="53"/>
      <c r="L64" s="53"/>
      <c r="M64" s="53"/>
    </row>
    <row r="65" spans="8:13">
      <c r="H65" s="53"/>
      <c r="I65" s="53"/>
      <c r="J65" s="53"/>
      <c r="K65" s="53"/>
      <c r="L65" s="53"/>
      <c r="M65" s="53"/>
    </row>
    <row r="66" spans="8:13">
      <c r="H66" s="53"/>
      <c r="I66" s="53"/>
      <c r="J66" s="53"/>
      <c r="K66" s="53"/>
      <c r="L66" s="53"/>
      <c r="M66" s="53"/>
    </row>
  </sheetData>
  <printOptions horizontalCentered="1"/>
  <pageMargins left="0.5" right="0.5" top="0.5" bottom="0.5" header="0.25" footer="0.25"/>
  <pageSetup scale="50" orientation="landscape" horizontalDpi="1200" verticalDpi="1200" r:id="rId1"/>
  <headerFooter>
    <oddHeader>&amp;RREVISED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Appendix A - Rates</vt:lpstr>
      <vt:lpstr>Appendix B - COS</vt:lpstr>
      <vt:lpstr>Exh I - Allocators</vt:lpstr>
      <vt:lpstr>Exh II - Plant Data</vt:lpstr>
      <vt:lpstr>Exh III - O&amp;M Expenses</vt:lpstr>
      <vt:lpstr>Exh IV - M&amp;S and Prepayments</vt:lpstr>
      <vt:lpstr>Exh V - ROR</vt:lpstr>
      <vt:lpstr>Exh VI - Other Taxes</vt:lpstr>
      <vt:lpstr>Exh VII - Rev Crd</vt:lpstr>
      <vt:lpstr>Exh VIII - Loads</vt:lpstr>
      <vt:lpstr>'Exh II - Plant Data'!Print_Area</vt:lpstr>
      <vt:lpstr>'Exh III - O&amp;M Expenses'!Print_Area</vt:lpstr>
      <vt:lpstr>'Exh V - ROR'!Print_Area</vt:lpstr>
      <vt:lpstr>'Appendix B - COS'!Print_Titles</vt:lpstr>
      <vt:lpstr>'Exh II - Plant Data'!Print_Titles</vt:lpstr>
      <vt:lpstr>'Exh III - O&amp;M Expenses'!Print_Titles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Brin</dc:creator>
  <cp:lastModifiedBy>Robert Brill</cp:lastModifiedBy>
  <cp:lastPrinted>2019-08-12T18:30:54Z</cp:lastPrinted>
  <dcterms:created xsi:type="dcterms:W3CDTF">2019-06-11T17:45:20Z</dcterms:created>
  <dcterms:modified xsi:type="dcterms:W3CDTF">2019-08-12T18:31:32Z</dcterms:modified>
</cp:coreProperties>
</file>